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um\OneDrive\Documents\"/>
    </mc:Choice>
  </mc:AlternateContent>
  <xr:revisionPtr revIDLastSave="0" documentId="13_ncr:1_{C6D8DC95-831E-409D-96B5-954AEFCC4910}" xr6:coauthVersionLast="47" xr6:coauthVersionMax="47" xr10:uidLastSave="{00000000-0000-0000-0000-000000000000}"/>
  <bookViews>
    <workbookView xWindow="-110" yWindow="-110" windowWidth="16220" windowHeight="8500" tabRatio="854" xr2:uid="{00000000-000D-0000-FFFF-FFFF00000000}"/>
  </bookViews>
  <sheets>
    <sheet name="ภาพรวม" sheetId="12" r:id="rId1"/>
    <sheet name="มทร.เชียงใหม่" sheetId="25" r:id="rId2"/>
    <sheet name="มทร.เชียงราย" sheetId="13" r:id="rId3"/>
    <sheet name="มทร.ดอยสะเก็ด" sheetId="26" r:id="rId4"/>
    <sheet name="มทร.ตาก1" sheetId="27" r:id="rId5"/>
    <sheet name="มทร.ตาก2" sheetId="28" r:id="rId6"/>
    <sheet name="มทร.ตาก3" sheetId="29" r:id="rId7"/>
    <sheet name="มทร.น่าน" sheetId="30" r:id="rId8"/>
    <sheet name="มทร.พิษณุโลก" sheetId="31" r:id="rId9"/>
    <sheet name="มทร.ภาคพายัพ เชียงใหม่" sheetId="32" r:id="rId10"/>
    <sheet name="มทร.ภาคพายัพ เจ็ดยอด" sheetId="33" r:id="rId11"/>
    <sheet name="มทร.ลำปาง" sheetId="3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2" l="1"/>
  <c r="B14" i="12"/>
  <c r="B4" i="34"/>
  <c r="B32" i="34"/>
  <c r="B29" i="34"/>
  <c r="E28" i="34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7" i="34"/>
  <c r="W26" i="34"/>
  <c r="B26" i="34"/>
  <c r="W25" i="34"/>
  <c r="W24" i="34"/>
  <c r="B24" i="34"/>
  <c r="E30" i="34" s="1"/>
  <c r="F30" i="34" s="1"/>
  <c r="F9" i="34"/>
  <c r="P23" i="34" s="1"/>
  <c r="F7" i="34"/>
  <c r="B4" i="33"/>
  <c r="G23" i="33" s="1"/>
  <c r="B32" i="33"/>
  <c r="B29" i="33"/>
  <c r="E28" i="33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7" i="33"/>
  <c r="W26" i="33"/>
  <c r="B26" i="33"/>
  <c r="W25" i="33"/>
  <c r="B24" i="33"/>
  <c r="E30" i="33" s="1"/>
  <c r="F30" i="33" s="1"/>
  <c r="G30" i="33" s="1"/>
  <c r="H30" i="33" s="1"/>
  <c r="I30" i="33" s="1"/>
  <c r="J30" i="33" s="1"/>
  <c r="K30" i="33" s="1"/>
  <c r="L30" i="33" s="1"/>
  <c r="M30" i="33" s="1"/>
  <c r="N30" i="33" s="1"/>
  <c r="O30" i="33" s="1"/>
  <c r="P30" i="33" s="1"/>
  <c r="Q30" i="33" s="1"/>
  <c r="R30" i="33" s="1"/>
  <c r="S30" i="33" s="1"/>
  <c r="T30" i="33" s="1"/>
  <c r="U30" i="33" s="1"/>
  <c r="V30" i="33" s="1"/>
  <c r="O23" i="33"/>
  <c r="F9" i="33"/>
  <c r="F7" i="33"/>
  <c r="P23" i="33"/>
  <c r="B4" i="32"/>
  <c r="B32" i="32"/>
  <c r="B29" i="32"/>
  <c r="E28" i="32"/>
  <c r="F28" i="32" s="1"/>
  <c r="W27" i="32"/>
  <c r="W26" i="32"/>
  <c r="B26" i="32"/>
  <c r="W25" i="32"/>
  <c r="B24" i="32"/>
  <c r="W24" i="32" s="1"/>
  <c r="F9" i="32"/>
  <c r="F7" i="32"/>
  <c r="B4" i="31"/>
  <c r="O23" i="31" s="1"/>
  <c r="B32" i="31"/>
  <c r="B29" i="31"/>
  <c r="E28" i="31"/>
  <c r="F28" i="31" s="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7" i="31"/>
  <c r="W26" i="31"/>
  <c r="B26" i="31"/>
  <c r="W25" i="31"/>
  <c r="B24" i="31"/>
  <c r="E30" i="31" s="1"/>
  <c r="F9" i="31"/>
  <c r="F7" i="31"/>
  <c r="B4" i="30"/>
  <c r="R23" i="30" s="1"/>
  <c r="B32" i="30"/>
  <c r="B29" i="30"/>
  <c r="E28" i="30"/>
  <c r="W27" i="30"/>
  <c r="W26" i="30"/>
  <c r="B26" i="30"/>
  <c r="W25" i="30"/>
  <c r="B24" i="30"/>
  <c r="W24" i="30" s="1"/>
  <c r="K23" i="30"/>
  <c r="C23" i="30"/>
  <c r="F9" i="30"/>
  <c r="F7" i="30"/>
  <c r="B4" i="29"/>
  <c r="B32" i="29"/>
  <c r="B29" i="29"/>
  <c r="E28" i="29"/>
  <c r="W27" i="29"/>
  <c r="W26" i="29"/>
  <c r="B26" i="29"/>
  <c r="W25" i="29"/>
  <c r="B24" i="29"/>
  <c r="E30" i="29" s="1"/>
  <c r="F9" i="29"/>
  <c r="F7" i="29"/>
  <c r="B4" i="28"/>
  <c r="V23" i="28" s="1"/>
  <c r="B32" i="28"/>
  <c r="B29" i="28"/>
  <c r="E28" i="28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S28" i="28" s="1"/>
  <c r="T28" i="28" s="1"/>
  <c r="U28" i="28" s="1"/>
  <c r="V28" i="28" s="1"/>
  <c r="W27" i="28"/>
  <c r="W26" i="28"/>
  <c r="B26" i="28"/>
  <c r="W25" i="28"/>
  <c r="B24" i="28"/>
  <c r="W24" i="28" s="1"/>
  <c r="F23" i="28"/>
  <c r="F9" i="28"/>
  <c r="F7" i="28"/>
  <c r="B4" i="27"/>
  <c r="C23" i="27" s="1"/>
  <c r="B32" i="27"/>
  <c r="B29" i="27"/>
  <c r="E28" i="27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S28" i="27" s="1"/>
  <c r="T28" i="27" s="1"/>
  <c r="U28" i="27" s="1"/>
  <c r="V28" i="27" s="1"/>
  <c r="W27" i="27"/>
  <c r="W26" i="27"/>
  <c r="B26" i="27"/>
  <c r="W25" i="27"/>
  <c r="B24" i="27"/>
  <c r="E30" i="27" s="1"/>
  <c r="F9" i="27"/>
  <c r="F7" i="27"/>
  <c r="B4" i="26"/>
  <c r="C23" i="26" s="1"/>
  <c r="B32" i="26"/>
  <c r="B29" i="26"/>
  <c r="E28" i="26"/>
  <c r="W27" i="26"/>
  <c r="W26" i="26"/>
  <c r="B26" i="26"/>
  <c r="W25" i="26"/>
  <c r="W24" i="26"/>
  <c r="B24" i="26"/>
  <c r="E30" i="26" s="1"/>
  <c r="F9" i="26"/>
  <c r="F7" i="26"/>
  <c r="I23" i="26" s="1"/>
  <c r="R23" i="26"/>
  <c r="R23" i="31" l="1"/>
  <c r="Q23" i="32"/>
  <c r="P23" i="28"/>
  <c r="P29" i="28" s="1"/>
  <c r="P31" i="28" s="1"/>
  <c r="W24" i="29"/>
  <c r="C23" i="29"/>
  <c r="S23" i="33"/>
  <c r="S29" i="33" s="1"/>
  <c r="K23" i="26"/>
  <c r="K29" i="26" s="1"/>
  <c r="S23" i="27"/>
  <c r="S29" i="27" s="1"/>
  <c r="S23" i="26"/>
  <c r="Q23" i="28"/>
  <c r="Q23" i="31"/>
  <c r="R23" i="27"/>
  <c r="R29" i="27" s="1"/>
  <c r="O23" i="28"/>
  <c r="O23" i="34"/>
  <c r="O29" i="34" s="1"/>
  <c r="O31" i="34" s="1"/>
  <c r="I23" i="34"/>
  <c r="I29" i="34" s="1"/>
  <c r="I31" i="34" s="1"/>
  <c r="I32" i="34" s="1"/>
  <c r="P29" i="34"/>
  <c r="P31" i="34" s="1"/>
  <c r="W28" i="34"/>
  <c r="G30" i="34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J23" i="34"/>
  <c r="R23" i="34"/>
  <c r="Q23" i="34"/>
  <c r="C23" i="34"/>
  <c r="K23" i="34"/>
  <c r="S23" i="34"/>
  <c r="D23" i="34"/>
  <c r="L23" i="34"/>
  <c r="T23" i="34"/>
  <c r="E23" i="34"/>
  <c r="M23" i="34"/>
  <c r="U23" i="34"/>
  <c r="F23" i="34"/>
  <c r="N23" i="34"/>
  <c r="V23" i="34"/>
  <c r="G23" i="34"/>
  <c r="H23" i="34"/>
  <c r="W24" i="33"/>
  <c r="P29" i="33"/>
  <c r="P31" i="33" s="1"/>
  <c r="W28" i="33"/>
  <c r="Q23" i="33"/>
  <c r="W30" i="33"/>
  <c r="J23" i="33"/>
  <c r="R23" i="33"/>
  <c r="I23" i="33"/>
  <c r="K23" i="33"/>
  <c r="D23" i="33"/>
  <c r="L23" i="33"/>
  <c r="T23" i="33"/>
  <c r="C23" i="33"/>
  <c r="E23" i="33"/>
  <c r="M23" i="33"/>
  <c r="U23" i="33"/>
  <c r="F23" i="33"/>
  <c r="N23" i="33"/>
  <c r="V23" i="33"/>
  <c r="G29" i="33"/>
  <c r="G31" i="33" s="1"/>
  <c r="O29" i="33"/>
  <c r="O31" i="33" s="1"/>
  <c r="H23" i="33"/>
  <c r="G28" i="32"/>
  <c r="H28" i="32" s="1"/>
  <c r="I28" i="32" s="1"/>
  <c r="J28" i="32" s="1"/>
  <c r="K28" i="32" s="1"/>
  <c r="L28" i="32" s="1"/>
  <c r="M28" i="32" s="1"/>
  <c r="N28" i="32" s="1"/>
  <c r="O28" i="32" s="1"/>
  <c r="P28" i="32" s="1"/>
  <c r="Q28" i="32" s="1"/>
  <c r="R28" i="32" s="1"/>
  <c r="S28" i="32" s="1"/>
  <c r="T28" i="32" s="1"/>
  <c r="U28" i="32" s="1"/>
  <c r="V28" i="32" s="1"/>
  <c r="Q29" i="32"/>
  <c r="Q31" i="32" s="1"/>
  <c r="K23" i="32"/>
  <c r="D23" i="32"/>
  <c r="L23" i="32"/>
  <c r="T23" i="32"/>
  <c r="J23" i="32"/>
  <c r="R23" i="32"/>
  <c r="E23" i="32"/>
  <c r="M23" i="32"/>
  <c r="U23" i="32"/>
  <c r="F23" i="32"/>
  <c r="N23" i="32"/>
  <c r="V23" i="32"/>
  <c r="C23" i="32"/>
  <c r="S23" i="32"/>
  <c r="G23" i="32"/>
  <c r="O23" i="32"/>
  <c r="E30" i="32"/>
  <c r="H23" i="32"/>
  <c r="P23" i="32"/>
  <c r="I23" i="32"/>
  <c r="W24" i="31"/>
  <c r="S23" i="31"/>
  <c r="S29" i="31" s="1"/>
  <c r="S31" i="31" s="1"/>
  <c r="I23" i="31"/>
  <c r="I29" i="31" s="1"/>
  <c r="I31" i="31" s="1"/>
  <c r="I32" i="31" s="1"/>
  <c r="G23" i="31"/>
  <c r="W28" i="31"/>
  <c r="Q31" i="31"/>
  <c r="Q32" i="31" s="1"/>
  <c r="R29" i="31"/>
  <c r="R31" i="31" s="1"/>
  <c r="D23" i="31"/>
  <c r="L23" i="31"/>
  <c r="T23" i="31"/>
  <c r="K23" i="31"/>
  <c r="E23" i="31"/>
  <c r="M23" i="31"/>
  <c r="U23" i="31"/>
  <c r="C23" i="31"/>
  <c r="F23" i="31"/>
  <c r="N23" i="31"/>
  <c r="V23" i="31"/>
  <c r="G29" i="31"/>
  <c r="G31" i="31" s="1"/>
  <c r="O29" i="31"/>
  <c r="O31" i="31" s="1"/>
  <c r="H23" i="31"/>
  <c r="P23" i="31"/>
  <c r="Q29" i="3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J23" i="31"/>
  <c r="S23" i="30"/>
  <c r="S29" i="30" s="1"/>
  <c r="R29" i="30"/>
  <c r="D23" i="30"/>
  <c r="L23" i="30"/>
  <c r="T23" i="30"/>
  <c r="E23" i="30"/>
  <c r="M23" i="30"/>
  <c r="U23" i="30"/>
  <c r="F23" i="30"/>
  <c r="N23" i="30"/>
  <c r="V23" i="30"/>
  <c r="G23" i="30"/>
  <c r="O23" i="30"/>
  <c r="F28" i="30"/>
  <c r="G28" i="30" s="1"/>
  <c r="H28" i="30" s="1"/>
  <c r="I28" i="30" s="1"/>
  <c r="J28" i="30" s="1"/>
  <c r="K28" i="30" s="1"/>
  <c r="L28" i="30" s="1"/>
  <c r="M28" i="30" s="1"/>
  <c r="N28" i="30" s="1"/>
  <c r="O28" i="30" s="1"/>
  <c r="P28" i="30" s="1"/>
  <c r="Q28" i="30" s="1"/>
  <c r="R28" i="30" s="1"/>
  <c r="S28" i="30" s="1"/>
  <c r="T28" i="30" s="1"/>
  <c r="U28" i="30" s="1"/>
  <c r="V28" i="30" s="1"/>
  <c r="E30" i="30"/>
  <c r="H23" i="30"/>
  <c r="P23" i="30"/>
  <c r="I23" i="30"/>
  <c r="Q23" i="30"/>
  <c r="J23" i="30"/>
  <c r="C29" i="30"/>
  <c r="C31" i="30" s="1"/>
  <c r="K29" i="30"/>
  <c r="K31" i="30" s="1"/>
  <c r="M23" i="29"/>
  <c r="M29" i="29" s="1"/>
  <c r="M31" i="29" s="1"/>
  <c r="D23" i="29"/>
  <c r="E23" i="29"/>
  <c r="K23" i="29"/>
  <c r="K29" i="29" s="1"/>
  <c r="R23" i="29"/>
  <c r="R29" i="29" s="1"/>
  <c r="S23" i="29"/>
  <c r="S29" i="29" s="1"/>
  <c r="U23" i="29"/>
  <c r="U29" i="29" s="1"/>
  <c r="Q23" i="29"/>
  <c r="Q29" i="29" s="1"/>
  <c r="F30" i="29"/>
  <c r="G30" i="29" s="1"/>
  <c r="H30" i="29" s="1"/>
  <c r="I30" i="29" s="1"/>
  <c r="J30" i="29" s="1"/>
  <c r="K30" i="29" s="1"/>
  <c r="L30" i="29" s="1"/>
  <c r="M30" i="29" s="1"/>
  <c r="N30" i="29" s="1"/>
  <c r="O30" i="29" s="1"/>
  <c r="P30" i="29" s="1"/>
  <c r="Q30" i="29" s="1"/>
  <c r="R30" i="29" s="1"/>
  <c r="S30" i="29" s="1"/>
  <c r="T30" i="29" s="1"/>
  <c r="U30" i="29" s="1"/>
  <c r="V30" i="29" s="1"/>
  <c r="L23" i="29"/>
  <c r="T23" i="29"/>
  <c r="E29" i="29"/>
  <c r="F23" i="29"/>
  <c r="N23" i="29"/>
  <c r="V23" i="29"/>
  <c r="G23" i="29"/>
  <c r="O23" i="29"/>
  <c r="F28" i="29"/>
  <c r="G28" i="29" s="1"/>
  <c r="H28" i="29" s="1"/>
  <c r="I28" i="29" s="1"/>
  <c r="J28" i="29" s="1"/>
  <c r="K28" i="29" s="1"/>
  <c r="L28" i="29" s="1"/>
  <c r="M28" i="29" s="1"/>
  <c r="N28" i="29" s="1"/>
  <c r="O28" i="29" s="1"/>
  <c r="P28" i="29" s="1"/>
  <c r="Q28" i="29" s="1"/>
  <c r="R28" i="29" s="1"/>
  <c r="S28" i="29" s="1"/>
  <c r="T28" i="29" s="1"/>
  <c r="U28" i="29" s="1"/>
  <c r="V28" i="29" s="1"/>
  <c r="H23" i="29"/>
  <c r="P23" i="29"/>
  <c r="I23" i="29"/>
  <c r="J23" i="29"/>
  <c r="C29" i="29"/>
  <c r="C31" i="29" s="1"/>
  <c r="N23" i="28"/>
  <c r="E30" i="28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Q30" i="28" s="1"/>
  <c r="R30" i="28" s="1"/>
  <c r="S30" i="28" s="1"/>
  <c r="T30" i="28" s="1"/>
  <c r="U30" i="28" s="1"/>
  <c r="V30" i="28" s="1"/>
  <c r="O29" i="28"/>
  <c r="O31" i="28" s="1"/>
  <c r="Q29" i="28"/>
  <c r="Q31" i="28" s="1"/>
  <c r="R23" i="28"/>
  <c r="K23" i="28"/>
  <c r="D23" i="28"/>
  <c r="L23" i="28"/>
  <c r="T23" i="28"/>
  <c r="J23" i="28"/>
  <c r="C23" i="28"/>
  <c r="S23" i="28"/>
  <c r="E23" i="28"/>
  <c r="M23" i="28"/>
  <c r="U23" i="28"/>
  <c r="F29" i="28"/>
  <c r="N29" i="28"/>
  <c r="V29" i="28"/>
  <c r="G23" i="28"/>
  <c r="H23" i="28"/>
  <c r="W28" i="28"/>
  <c r="I23" i="28"/>
  <c r="I23" i="27"/>
  <c r="K23" i="27"/>
  <c r="K29" i="27" s="1"/>
  <c r="K31" i="27" s="1"/>
  <c r="K32" i="27" s="1"/>
  <c r="W24" i="27"/>
  <c r="I29" i="27"/>
  <c r="I31" i="27" s="1"/>
  <c r="F30" i="27"/>
  <c r="G30" i="27" s="1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R30" i="27" s="1"/>
  <c r="S30" i="27" s="1"/>
  <c r="T30" i="27" s="1"/>
  <c r="U30" i="27" s="1"/>
  <c r="V30" i="27" s="1"/>
  <c r="W28" i="27"/>
  <c r="D23" i="27"/>
  <c r="L23" i="27"/>
  <c r="T23" i="27"/>
  <c r="E23" i="27"/>
  <c r="M23" i="27"/>
  <c r="U23" i="27"/>
  <c r="F23" i="27"/>
  <c r="N23" i="27"/>
  <c r="V23" i="27"/>
  <c r="G23" i="27"/>
  <c r="O23" i="27"/>
  <c r="H23" i="27"/>
  <c r="P23" i="27"/>
  <c r="Q23" i="27"/>
  <c r="J23" i="27"/>
  <c r="C29" i="27"/>
  <c r="C31" i="27" s="1"/>
  <c r="C32" i="27" s="1"/>
  <c r="R29" i="26"/>
  <c r="I29" i="26"/>
  <c r="F30" i="26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D23" i="26"/>
  <c r="L23" i="26"/>
  <c r="T23" i="26"/>
  <c r="E23" i="26"/>
  <c r="U23" i="26"/>
  <c r="F23" i="26"/>
  <c r="N23" i="26"/>
  <c r="V23" i="26"/>
  <c r="M23" i="26"/>
  <c r="G23" i="26"/>
  <c r="O23" i="26"/>
  <c r="F28" i="26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H23" i="26"/>
  <c r="P23" i="26"/>
  <c r="Q23" i="26"/>
  <c r="J23" i="26"/>
  <c r="C29" i="26"/>
  <c r="C31" i="26" s="1"/>
  <c r="S29" i="26"/>
  <c r="B4" i="25"/>
  <c r="R23" i="25" s="1"/>
  <c r="B32" i="25"/>
  <c r="B29" i="25"/>
  <c r="F28" i="25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E28" i="25"/>
  <c r="W27" i="25"/>
  <c r="W26" i="25"/>
  <c r="B26" i="25"/>
  <c r="W25" i="25"/>
  <c r="B24" i="25"/>
  <c r="E30" i="25" s="1"/>
  <c r="S23" i="25"/>
  <c r="K23" i="25"/>
  <c r="F9" i="25"/>
  <c r="F7" i="25"/>
  <c r="B29" i="13"/>
  <c r="B26" i="13"/>
  <c r="B24" i="13"/>
  <c r="B4" i="13"/>
  <c r="C23" i="25" l="1"/>
  <c r="I23" i="25"/>
  <c r="S31" i="29"/>
  <c r="W30" i="31"/>
  <c r="Q31" i="29"/>
  <c r="R31" i="29"/>
  <c r="R32" i="31"/>
  <c r="O32" i="34"/>
  <c r="G29" i="34"/>
  <c r="G31" i="34" s="1"/>
  <c r="G32" i="34" s="1"/>
  <c r="M29" i="34"/>
  <c r="M31" i="34" s="1"/>
  <c r="M32" i="34" s="1"/>
  <c r="Q29" i="34"/>
  <c r="W23" i="34"/>
  <c r="C29" i="34"/>
  <c r="E29" i="34"/>
  <c r="E31" i="34" s="1"/>
  <c r="E32" i="34" s="1"/>
  <c r="R29" i="34"/>
  <c r="T29" i="34"/>
  <c r="T31" i="34" s="1"/>
  <c r="T32" i="34" s="1"/>
  <c r="J29" i="34"/>
  <c r="J31" i="34" s="1"/>
  <c r="J32" i="34" s="1"/>
  <c r="V29" i="34"/>
  <c r="V31" i="34" s="1"/>
  <c r="L29" i="34"/>
  <c r="L31" i="34" s="1"/>
  <c r="N29" i="34"/>
  <c r="N31" i="34" s="1"/>
  <c r="N32" i="34" s="1"/>
  <c r="D29" i="34"/>
  <c r="P32" i="34"/>
  <c r="F29" i="34"/>
  <c r="S29" i="34"/>
  <c r="W30" i="34"/>
  <c r="U29" i="34"/>
  <c r="U31" i="34" s="1"/>
  <c r="U32" i="34" s="1"/>
  <c r="H29" i="34"/>
  <c r="H31" i="34" s="1"/>
  <c r="H32" i="34" s="1"/>
  <c r="K29" i="34"/>
  <c r="W23" i="33"/>
  <c r="C29" i="33"/>
  <c r="R29" i="33"/>
  <c r="S31" i="33"/>
  <c r="S32" i="33" s="1"/>
  <c r="E29" i="33"/>
  <c r="E31" i="33" s="1"/>
  <c r="E32" i="33" s="1"/>
  <c r="V29" i="33"/>
  <c r="V31" i="33" s="1"/>
  <c r="O32" i="33"/>
  <c r="J29" i="33"/>
  <c r="J31" i="33" s="1"/>
  <c r="N29" i="33"/>
  <c r="G32" i="33"/>
  <c r="I29" i="33"/>
  <c r="I31" i="33" s="1"/>
  <c r="I32" i="33" s="1"/>
  <c r="F29" i="33"/>
  <c r="F31" i="33" s="1"/>
  <c r="F32" i="33" s="1"/>
  <c r="T29" i="33"/>
  <c r="T31" i="33" s="1"/>
  <c r="T32" i="33" s="1"/>
  <c r="Q29" i="33"/>
  <c r="Q31" i="33" s="1"/>
  <c r="H29" i="33"/>
  <c r="H31" i="33" s="1"/>
  <c r="H32" i="33" s="1"/>
  <c r="L29" i="33"/>
  <c r="P32" i="33"/>
  <c r="U29" i="33"/>
  <c r="U31" i="33" s="1"/>
  <c r="U32" i="33" s="1"/>
  <c r="D29" i="33"/>
  <c r="D31" i="33" s="1"/>
  <c r="D32" i="33" s="1"/>
  <c r="M29" i="33"/>
  <c r="M31" i="33" s="1"/>
  <c r="K29" i="33"/>
  <c r="O29" i="32"/>
  <c r="O31" i="32" s="1"/>
  <c r="D29" i="32"/>
  <c r="D31" i="32"/>
  <c r="G29" i="32"/>
  <c r="U29" i="32"/>
  <c r="K29" i="32"/>
  <c r="S29" i="32"/>
  <c r="S31" i="32" s="1"/>
  <c r="M29" i="32"/>
  <c r="W23" i="32"/>
  <c r="C29" i="32"/>
  <c r="C31" i="32" s="1"/>
  <c r="E29" i="32"/>
  <c r="I29" i="32"/>
  <c r="I31" i="32" s="1"/>
  <c r="R29" i="32"/>
  <c r="R31" i="32" s="1"/>
  <c r="P29" i="32"/>
  <c r="P31" i="32" s="1"/>
  <c r="V29" i="32"/>
  <c r="J29" i="32"/>
  <c r="J31" i="32" s="1"/>
  <c r="H29" i="32"/>
  <c r="H31" i="32" s="1"/>
  <c r="N29" i="32"/>
  <c r="T29" i="32"/>
  <c r="T31" i="32" s="1"/>
  <c r="F30" i="32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Q30" i="32" s="1"/>
  <c r="R30" i="32" s="1"/>
  <c r="S30" i="32" s="1"/>
  <c r="T30" i="32" s="1"/>
  <c r="U30" i="32" s="1"/>
  <c r="V30" i="32" s="1"/>
  <c r="F29" i="32"/>
  <c r="L29" i="32"/>
  <c r="W28" i="32"/>
  <c r="G32" i="31"/>
  <c r="T29" i="31"/>
  <c r="T31" i="31" s="1"/>
  <c r="T32" i="31" s="1"/>
  <c r="J29" i="31"/>
  <c r="J31" i="31" s="1"/>
  <c r="J32" i="31" s="1"/>
  <c r="L29" i="31"/>
  <c r="L31" i="31" s="1"/>
  <c r="L32" i="31" s="1"/>
  <c r="U29" i="31"/>
  <c r="D29" i="31"/>
  <c r="F29" i="31"/>
  <c r="F31" i="31" s="1"/>
  <c r="F32" i="31" s="1"/>
  <c r="C29" i="31"/>
  <c r="W23" i="31"/>
  <c r="E29" i="31"/>
  <c r="E31" i="31" s="1"/>
  <c r="E32" i="31" s="1"/>
  <c r="S32" i="31"/>
  <c r="H29" i="31"/>
  <c r="H31" i="31" s="1"/>
  <c r="V29" i="31"/>
  <c r="V31" i="31" s="1"/>
  <c r="V32" i="31" s="1"/>
  <c r="K29" i="31"/>
  <c r="K31" i="31" s="1"/>
  <c r="K32" i="31" s="1"/>
  <c r="M29" i="31"/>
  <c r="P29" i="31"/>
  <c r="N29" i="31"/>
  <c r="N31" i="31" s="1"/>
  <c r="N32" i="31" s="1"/>
  <c r="O32" i="31"/>
  <c r="W23" i="30"/>
  <c r="C32" i="30"/>
  <c r="I29" i="30"/>
  <c r="I31" i="30" s="1"/>
  <c r="U29" i="30"/>
  <c r="M29" i="30"/>
  <c r="M31" i="30" s="1"/>
  <c r="W28" i="30"/>
  <c r="O29" i="30"/>
  <c r="O31" i="30" s="1"/>
  <c r="E29" i="30"/>
  <c r="E31" i="30" s="1"/>
  <c r="E32" i="30" s="1"/>
  <c r="Q29" i="30"/>
  <c r="Q31" i="30" s="1"/>
  <c r="G29" i="30"/>
  <c r="T29" i="30"/>
  <c r="T31" i="30" s="1"/>
  <c r="V29" i="30"/>
  <c r="V31" i="30" s="1"/>
  <c r="L29" i="30"/>
  <c r="L31" i="30" s="1"/>
  <c r="F30" i="30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Q30" i="30" s="1"/>
  <c r="R30" i="30" s="1"/>
  <c r="S30" i="30" s="1"/>
  <c r="P29" i="30"/>
  <c r="N29" i="30"/>
  <c r="N31" i="30" s="1"/>
  <c r="D29" i="30"/>
  <c r="R31" i="30"/>
  <c r="J31" i="30"/>
  <c r="J29" i="30"/>
  <c r="H29" i="30"/>
  <c r="H31" i="30" s="1"/>
  <c r="F29" i="30"/>
  <c r="F31" i="30" s="1"/>
  <c r="S31" i="30"/>
  <c r="S32" i="29"/>
  <c r="M32" i="29"/>
  <c r="D29" i="29"/>
  <c r="D31" i="29" s="1"/>
  <c r="W23" i="29"/>
  <c r="C32" i="29"/>
  <c r="I29" i="29"/>
  <c r="I31" i="29" s="1"/>
  <c r="G29" i="29"/>
  <c r="G31" i="29" s="1"/>
  <c r="G32" i="29" s="1"/>
  <c r="O29" i="29"/>
  <c r="O31" i="29" s="1"/>
  <c r="O32" i="29" s="1"/>
  <c r="E31" i="29"/>
  <c r="R32" i="29"/>
  <c r="V29" i="29"/>
  <c r="V31" i="29" s="1"/>
  <c r="V32" i="29" s="1"/>
  <c r="P29" i="29"/>
  <c r="N29" i="29"/>
  <c r="N31" i="29" s="1"/>
  <c r="N32" i="29" s="1"/>
  <c r="T29" i="29"/>
  <c r="W30" i="29"/>
  <c r="K31" i="29"/>
  <c r="K32" i="29" s="1"/>
  <c r="B37" i="29"/>
  <c r="C37" i="29" s="1"/>
  <c r="H29" i="29"/>
  <c r="F29" i="29"/>
  <c r="L29" i="29"/>
  <c r="L31" i="29" s="1"/>
  <c r="L32" i="29" s="1"/>
  <c r="W28" i="29"/>
  <c r="J29" i="29"/>
  <c r="J31" i="29" s="1"/>
  <c r="J32" i="29" s="1"/>
  <c r="U31" i="29"/>
  <c r="U32" i="29" s="1"/>
  <c r="Q32" i="29"/>
  <c r="W23" i="28"/>
  <c r="C29" i="28"/>
  <c r="J29" i="28"/>
  <c r="J31" i="28" s="1"/>
  <c r="W30" i="28"/>
  <c r="R29" i="28"/>
  <c r="R31" i="28" s="1"/>
  <c r="T29" i="28"/>
  <c r="T31" i="28" s="1"/>
  <c r="V31" i="28"/>
  <c r="V32" i="28" s="1"/>
  <c r="P32" i="28"/>
  <c r="L29" i="28"/>
  <c r="N31" i="28"/>
  <c r="N32" i="28" s="1"/>
  <c r="M29" i="28"/>
  <c r="M31" i="28" s="1"/>
  <c r="D29" i="28"/>
  <c r="F31" i="28"/>
  <c r="F32" i="28" s="1"/>
  <c r="U29" i="28"/>
  <c r="U31" i="28" s="1"/>
  <c r="E29" i="28"/>
  <c r="Q32" i="28"/>
  <c r="O32" i="28"/>
  <c r="I29" i="28"/>
  <c r="I31" i="28" s="1"/>
  <c r="I32" i="28" s="1"/>
  <c r="H29" i="28"/>
  <c r="H31" i="28" s="1"/>
  <c r="H32" i="28" s="1"/>
  <c r="G29" i="28"/>
  <c r="G31" i="28" s="1"/>
  <c r="S29" i="28"/>
  <c r="S31" i="28" s="1"/>
  <c r="S32" i="28" s="1"/>
  <c r="K29" i="28"/>
  <c r="N29" i="27"/>
  <c r="N31" i="27" s="1"/>
  <c r="N32" i="27" s="1"/>
  <c r="D29" i="27"/>
  <c r="D31" i="27"/>
  <c r="R31" i="27"/>
  <c r="R32" i="27" s="1"/>
  <c r="L29" i="27"/>
  <c r="V29" i="27"/>
  <c r="H29" i="27"/>
  <c r="H31" i="27" s="1"/>
  <c r="B38" i="27"/>
  <c r="J29" i="27"/>
  <c r="J31" i="27" s="1"/>
  <c r="W23" i="27"/>
  <c r="U29" i="27"/>
  <c r="U31" i="27" s="1"/>
  <c r="U32" i="27" s="1"/>
  <c r="S31" i="27"/>
  <c r="S32" i="27" s="1"/>
  <c r="W30" i="27"/>
  <c r="Q29" i="27"/>
  <c r="Q31" i="27" s="1"/>
  <c r="Q32" i="27" s="1"/>
  <c r="O29" i="27"/>
  <c r="O31" i="27" s="1"/>
  <c r="O32" i="27" s="1"/>
  <c r="M29" i="27"/>
  <c r="I32" i="27"/>
  <c r="F29" i="27"/>
  <c r="F31" i="27" s="1"/>
  <c r="F32" i="27" s="1"/>
  <c r="G29" i="27"/>
  <c r="G31" i="27" s="1"/>
  <c r="G32" i="27" s="1"/>
  <c r="E29" i="27"/>
  <c r="P29" i="27"/>
  <c r="P31" i="27" s="1"/>
  <c r="P32" i="27" s="1"/>
  <c r="T29" i="27"/>
  <c r="C32" i="26"/>
  <c r="L29" i="26"/>
  <c r="P29" i="26"/>
  <c r="P31" i="26" s="1"/>
  <c r="V29" i="26"/>
  <c r="V31" i="26" s="1"/>
  <c r="D29" i="26"/>
  <c r="D31" i="26"/>
  <c r="I31" i="26"/>
  <c r="I32" i="26" s="1"/>
  <c r="H29" i="26"/>
  <c r="H31" i="26" s="1"/>
  <c r="H32" i="26" s="1"/>
  <c r="N29" i="26"/>
  <c r="N31" i="26" s="1"/>
  <c r="W28" i="26"/>
  <c r="J29" i="26"/>
  <c r="K31" i="26"/>
  <c r="K32" i="26" s="1"/>
  <c r="Q29" i="26"/>
  <c r="Q31" i="26" s="1"/>
  <c r="W23" i="26"/>
  <c r="W30" i="26"/>
  <c r="F29" i="26"/>
  <c r="O29" i="26"/>
  <c r="O31" i="26" s="1"/>
  <c r="O32" i="26" s="1"/>
  <c r="U29" i="26"/>
  <c r="U31" i="26" s="1"/>
  <c r="U32" i="26" s="1"/>
  <c r="G29" i="26"/>
  <c r="G31" i="26" s="1"/>
  <c r="G32" i="26" s="1"/>
  <c r="E29" i="26"/>
  <c r="E31" i="26" s="1"/>
  <c r="E32" i="26" s="1"/>
  <c r="S31" i="26"/>
  <c r="S32" i="26" s="1"/>
  <c r="R31" i="26"/>
  <c r="R32" i="26" s="1"/>
  <c r="M29" i="26"/>
  <c r="M31" i="26" s="1"/>
  <c r="T29" i="26"/>
  <c r="W24" i="25"/>
  <c r="R29" i="25"/>
  <c r="R31" i="25" s="1"/>
  <c r="I29" i="25"/>
  <c r="I31" i="25" s="1"/>
  <c r="W28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D23" i="25"/>
  <c r="L23" i="25"/>
  <c r="T23" i="25"/>
  <c r="E23" i="25"/>
  <c r="M23" i="25"/>
  <c r="U23" i="25"/>
  <c r="F23" i="25"/>
  <c r="N23" i="25"/>
  <c r="V23" i="25"/>
  <c r="G23" i="25"/>
  <c r="O23" i="25"/>
  <c r="H23" i="25"/>
  <c r="P23" i="25"/>
  <c r="Q23" i="25"/>
  <c r="J23" i="25"/>
  <c r="C29" i="25"/>
  <c r="K29" i="25"/>
  <c r="K31" i="25" s="1"/>
  <c r="S29" i="25"/>
  <c r="F31" i="26" l="1"/>
  <c r="F32" i="26" s="1"/>
  <c r="S31" i="34"/>
  <c r="S32" i="34" s="1"/>
  <c r="F31" i="34"/>
  <c r="F32" i="34" s="1"/>
  <c r="L32" i="34"/>
  <c r="Q31" i="34"/>
  <c r="Q32" i="34" s="1"/>
  <c r="B37" i="34"/>
  <c r="W29" i="34"/>
  <c r="B38" i="34"/>
  <c r="K31" i="34"/>
  <c r="K32" i="34" s="1"/>
  <c r="D31" i="34"/>
  <c r="D32" i="34" s="1"/>
  <c r="V32" i="34"/>
  <c r="C31" i="34"/>
  <c r="R31" i="34"/>
  <c r="R32" i="34" s="1"/>
  <c r="J32" i="33"/>
  <c r="L31" i="33"/>
  <c r="L32" i="33" s="1"/>
  <c r="V32" i="33"/>
  <c r="R31" i="33"/>
  <c r="R32" i="33" s="1"/>
  <c r="K31" i="33"/>
  <c r="K32" i="33" s="1"/>
  <c r="N31" i="33"/>
  <c r="N32" i="33" s="1"/>
  <c r="B38" i="33"/>
  <c r="W29" i="33"/>
  <c r="B37" i="33"/>
  <c r="C31" i="33"/>
  <c r="M32" i="33"/>
  <c r="Q32" i="33"/>
  <c r="N31" i="32"/>
  <c r="N32" i="32" s="1"/>
  <c r="T32" i="32"/>
  <c r="D32" i="32"/>
  <c r="F31" i="32"/>
  <c r="F32" i="32" s="1"/>
  <c r="K32" i="32"/>
  <c r="C32" i="32"/>
  <c r="I32" i="32"/>
  <c r="S32" i="32"/>
  <c r="H32" i="32"/>
  <c r="V31" i="32"/>
  <c r="V32" i="32" s="1"/>
  <c r="G31" i="32"/>
  <c r="G32" i="32" s="1"/>
  <c r="W30" i="32"/>
  <c r="P32" i="32"/>
  <c r="Q32" i="32"/>
  <c r="K31" i="32"/>
  <c r="L31" i="32"/>
  <c r="L32" i="32" s="1"/>
  <c r="J32" i="32"/>
  <c r="E31" i="32"/>
  <c r="M31" i="32"/>
  <c r="M32" i="32" s="1"/>
  <c r="R32" i="32"/>
  <c r="U31" i="32"/>
  <c r="U32" i="32" s="1"/>
  <c r="O32" i="32"/>
  <c r="B38" i="32"/>
  <c r="W29" i="32"/>
  <c r="B37" i="32"/>
  <c r="D31" i="31"/>
  <c r="D32" i="31" s="1"/>
  <c r="M31" i="31"/>
  <c r="M32" i="31" s="1"/>
  <c r="H32" i="31"/>
  <c r="B38" i="31"/>
  <c r="W29" i="31"/>
  <c r="B37" i="31"/>
  <c r="C37" i="31" s="1"/>
  <c r="C31" i="31"/>
  <c r="U31" i="31"/>
  <c r="U32" i="31" s="1"/>
  <c r="P31" i="31"/>
  <c r="P32" i="31" s="1"/>
  <c r="L32" i="30"/>
  <c r="D31" i="30"/>
  <c r="D32" i="30" s="1"/>
  <c r="F32" i="30"/>
  <c r="P31" i="30"/>
  <c r="P32" i="30" s="1"/>
  <c r="G31" i="30"/>
  <c r="O32" i="30"/>
  <c r="U31" i="30"/>
  <c r="H32" i="30"/>
  <c r="B38" i="30"/>
  <c r="B37" i="30"/>
  <c r="C37" i="30" s="1"/>
  <c r="W29" i="30"/>
  <c r="K32" i="30"/>
  <c r="T30" i="30"/>
  <c r="U30" i="30" s="1"/>
  <c r="V30" i="30" s="1"/>
  <c r="V32" i="30" s="1"/>
  <c r="S32" i="30"/>
  <c r="I32" i="30"/>
  <c r="Q32" i="30"/>
  <c r="N32" i="30"/>
  <c r="J32" i="30"/>
  <c r="R32" i="30"/>
  <c r="M32" i="30"/>
  <c r="P31" i="29"/>
  <c r="P32" i="29" s="1"/>
  <c r="D32" i="29"/>
  <c r="H31" i="29"/>
  <c r="H32" i="29" s="1"/>
  <c r="I32" i="29"/>
  <c r="E32" i="29"/>
  <c r="W29" i="29"/>
  <c r="B38" i="29"/>
  <c r="F31" i="29"/>
  <c r="F32" i="29" s="1"/>
  <c r="T31" i="29"/>
  <c r="T32" i="29" s="1"/>
  <c r="J32" i="28"/>
  <c r="M32" i="28"/>
  <c r="T32" i="28"/>
  <c r="G32" i="28"/>
  <c r="U32" i="28"/>
  <c r="B38" i="28"/>
  <c r="W29" i="28"/>
  <c r="B37" i="28"/>
  <c r="C37" i="28" s="1"/>
  <c r="L31" i="28"/>
  <c r="L32" i="28" s="1"/>
  <c r="R32" i="28"/>
  <c r="C31" i="28"/>
  <c r="K31" i="28"/>
  <c r="K32" i="28" s="1"/>
  <c r="D31" i="28"/>
  <c r="D32" i="28" s="1"/>
  <c r="E31" i="28"/>
  <c r="E32" i="28" s="1"/>
  <c r="V31" i="27"/>
  <c r="V32" i="27" s="1"/>
  <c r="B37" i="27"/>
  <c r="C37" i="27" s="1"/>
  <c r="M31" i="27"/>
  <c r="M32" i="27" s="1"/>
  <c r="H32" i="27"/>
  <c r="L31" i="27"/>
  <c r="L32" i="27" s="1"/>
  <c r="E31" i="27"/>
  <c r="T31" i="27"/>
  <c r="T32" i="27" s="1"/>
  <c r="J32" i="27"/>
  <c r="D32" i="27"/>
  <c r="W29" i="27"/>
  <c r="N32" i="26"/>
  <c r="P32" i="26"/>
  <c r="B37" i="26"/>
  <c r="C37" i="26" s="1"/>
  <c r="J31" i="26"/>
  <c r="M32" i="26"/>
  <c r="Q32" i="26"/>
  <c r="W29" i="26"/>
  <c r="L31" i="26"/>
  <c r="L32" i="26" s="1"/>
  <c r="B38" i="26"/>
  <c r="V32" i="26"/>
  <c r="D32" i="26"/>
  <c r="T31" i="26"/>
  <c r="T32" i="26" s="1"/>
  <c r="W23" i="25"/>
  <c r="K32" i="25"/>
  <c r="L29" i="25"/>
  <c r="N29" i="25"/>
  <c r="D29" i="25"/>
  <c r="C31" i="25"/>
  <c r="C32" i="25" s="1"/>
  <c r="V29" i="25"/>
  <c r="V31" i="25" s="1"/>
  <c r="P29" i="25"/>
  <c r="P31" i="25" s="1"/>
  <c r="P32" i="25" s="1"/>
  <c r="F29" i="25"/>
  <c r="I32" i="25"/>
  <c r="J29" i="25"/>
  <c r="J31" i="25" s="1"/>
  <c r="J32" i="25" s="1"/>
  <c r="H29" i="25"/>
  <c r="H31" i="25" s="1"/>
  <c r="Q29" i="25"/>
  <c r="Q31" i="25" s="1"/>
  <c r="Q32" i="25" s="1"/>
  <c r="O29" i="25"/>
  <c r="O31" i="25" s="1"/>
  <c r="M29" i="25"/>
  <c r="M31" i="25" s="1"/>
  <c r="W30" i="25"/>
  <c r="R32" i="25"/>
  <c r="U29" i="25"/>
  <c r="G29" i="25"/>
  <c r="G31" i="25" s="1"/>
  <c r="G32" i="25" s="1"/>
  <c r="E29" i="25"/>
  <c r="S31" i="25"/>
  <c r="S32" i="25" s="1"/>
  <c r="T29" i="25"/>
  <c r="T31" i="25"/>
  <c r="B38" i="25" l="1"/>
  <c r="W31" i="31"/>
  <c r="W31" i="32"/>
  <c r="W31" i="30"/>
  <c r="W31" i="34"/>
  <c r="C32" i="34"/>
  <c r="W31" i="33"/>
  <c r="C32" i="33"/>
  <c r="B46" i="32"/>
  <c r="E32" i="32"/>
  <c r="W32" i="32" s="1"/>
  <c r="C32" i="31"/>
  <c r="T32" i="30"/>
  <c r="W30" i="30"/>
  <c r="U32" i="30"/>
  <c r="G32" i="30"/>
  <c r="B46" i="30" s="1"/>
  <c r="W32" i="29"/>
  <c r="B45" i="29"/>
  <c r="C45" i="29" s="1"/>
  <c r="B46" i="29"/>
  <c r="W31" i="29"/>
  <c r="W31" i="28"/>
  <c r="C32" i="28"/>
  <c r="W31" i="27"/>
  <c r="E32" i="27"/>
  <c r="B46" i="27" s="1"/>
  <c r="W31" i="26"/>
  <c r="J32" i="26"/>
  <c r="W29" i="25"/>
  <c r="T32" i="25"/>
  <c r="V32" i="25"/>
  <c r="L31" i="25"/>
  <c r="L32" i="25" s="1"/>
  <c r="U31" i="25"/>
  <c r="U32" i="25" s="1"/>
  <c r="N31" i="25"/>
  <c r="N32" i="25" s="1"/>
  <c r="B37" i="25"/>
  <c r="C37" i="25" s="1"/>
  <c r="M32" i="25"/>
  <c r="O32" i="25"/>
  <c r="H32" i="25"/>
  <c r="F31" i="25"/>
  <c r="F32" i="25" s="1"/>
  <c r="D31" i="25"/>
  <c r="E31" i="25"/>
  <c r="E32" i="25" s="1"/>
  <c r="D32" i="25"/>
  <c r="W32" i="34" l="1"/>
  <c r="W32" i="33"/>
  <c r="B45" i="33"/>
  <c r="B46" i="33"/>
  <c r="B45" i="32"/>
  <c r="W32" i="31"/>
  <c r="B46" i="31"/>
  <c r="B45" i="31"/>
  <c r="C45" i="31" s="1"/>
  <c r="B45" i="30"/>
  <c r="C45" i="30" s="1"/>
  <c r="W32" i="30"/>
  <c r="W32" i="28"/>
  <c r="B46" i="28"/>
  <c r="B45" i="28"/>
  <c r="C45" i="28" s="1"/>
  <c r="W32" i="27"/>
  <c r="B45" i="27"/>
  <c r="C45" i="27" s="1"/>
  <c r="B45" i="26"/>
  <c r="C45" i="26" s="1"/>
  <c r="W32" i="26"/>
  <c r="B46" i="26"/>
  <c r="B46" i="25"/>
  <c r="W31" i="25"/>
  <c r="W32" i="25"/>
  <c r="B45" i="25"/>
  <c r="C45" i="25" s="1"/>
  <c r="B32" i="13"/>
  <c r="E30" i="13"/>
  <c r="W27" i="13"/>
  <c r="W26" i="13"/>
  <c r="W25" i="13"/>
  <c r="W24" i="13"/>
  <c r="F9" i="13"/>
  <c r="F7" i="13"/>
  <c r="R23" i="13" s="1"/>
  <c r="Q23" i="13"/>
  <c r="B64" i="12"/>
  <c r="F24" i="12"/>
  <c r="F22" i="12"/>
  <c r="B19" i="12"/>
  <c r="E62" i="12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C60" i="12"/>
  <c r="D60" i="12" s="1"/>
  <c r="E60" i="12" s="1"/>
  <c r="F60" i="12" s="1"/>
  <c r="G60" i="12" s="1"/>
  <c r="H60" i="12" s="1"/>
  <c r="I60" i="12" s="1"/>
  <c r="J60" i="12" s="1"/>
  <c r="K60" i="12" s="1"/>
  <c r="L60" i="12" s="1"/>
  <c r="M60" i="12" s="1"/>
  <c r="N60" i="12" s="1"/>
  <c r="O60" i="12" s="1"/>
  <c r="P60" i="12" s="1"/>
  <c r="Q60" i="12" s="1"/>
  <c r="R60" i="12" s="1"/>
  <c r="S60" i="12" s="1"/>
  <c r="T60" i="12" s="1"/>
  <c r="U60" i="12" s="1"/>
  <c r="V60" i="12" s="1"/>
  <c r="O23" i="13" l="1"/>
  <c r="W60" i="12"/>
  <c r="W62" i="12"/>
  <c r="Q29" i="13"/>
  <c r="O29" i="13"/>
  <c r="J23" i="13"/>
  <c r="S23" i="13"/>
  <c r="D23" i="13"/>
  <c r="L23" i="13"/>
  <c r="T23" i="13"/>
  <c r="C23" i="13"/>
  <c r="K23" i="13"/>
  <c r="E23" i="13"/>
  <c r="M23" i="13"/>
  <c r="U23" i="13"/>
  <c r="F23" i="13"/>
  <c r="N23" i="13"/>
  <c r="V23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G23" i="13"/>
  <c r="H23" i="13"/>
  <c r="P23" i="13"/>
  <c r="F30" i="13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I23" i="13"/>
  <c r="R29" i="13"/>
  <c r="W59" i="12"/>
  <c r="B58" i="12"/>
  <c r="W57" i="12"/>
  <c r="W55" i="12"/>
  <c r="V54" i="12"/>
  <c r="U54" i="12"/>
  <c r="S54" i="12"/>
  <c r="S61" i="12" l="1"/>
  <c r="S63" i="12" s="1"/>
  <c r="U61" i="12"/>
  <c r="U63" i="12"/>
  <c r="U64" i="12" s="1"/>
  <c r="V61" i="12"/>
  <c r="V63" i="12" s="1"/>
  <c r="V64" i="12" s="1"/>
  <c r="W23" i="13"/>
  <c r="C29" i="13"/>
  <c r="T29" i="13"/>
  <c r="T31" i="13" s="1"/>
  <c r="T32" i="13" s="1"/>
  <c r="L31" i="13"/>
  <c r="L29" i="13"/>
  <c r="I29" i="13"/>
  <c r="I31" i="13" s="1"/>
  <c r="F29" i="13"/>
  <c r="F31" i="13" s="1"/>
  <c r="F32" i="13" s="1"/>
  <c r="D29" i="13"/>
  <c r="D31" i="13"/>
  <c r="O31" i="13"/>
  <c r="O32" i="13" s="1"/>
  <c r="W30" i="13"/>
  <c r="U29" i="13"/>
  <c r="U31" i="13" s="1"/>
  <c r="U32" i="13" s="1"/>
  <c r="S29" i="13"/>
  <c r="S31" i="13" s="1"/>
  <c r="S32" i="13" s="1"/>
  <c r="W28" i="13"/>
  <c r="N29" i="13"/>
  <c r="N31" i="13" s="1"/>
  <c r="N32" i="13" s="1"/>
  <c r="H29" i="13"/>
  <c r="H31" i="13" s="1"/>
  <c r="J29" i="13"/>
  <c r="J31" i="13" s="1"/>
  <c r="V31" i="13"/>
  <c r="V32" i="13" s="1"/>
  <c r="V29" i="13"/>
  <c r="P29" i="13"/>
  <c r="P31" i="13" s="1"/>
  <c r="P32" i="13" s="1"/>
  <c r="E29" i="13"/>
  <c r="M29" i="13"/>
  <c r="M31" i="13" s="1"/>
  <c r="G29" i="13"/>
  <c r="G31" i="13" s="1"/>
  <c r="K29" i="13"/>
  <c r="K31" i="13" s="1"/>
  <c r="K32" i="13" s="1"/>
  <c r="R31" i="13"/>
  <c r="R32" i="13" s="1"/>
  <c r="Q31" i="13"/>
  <c r="Q32" i="13" s="1"/>
  <c r="I54" i="12"/>
  <c r="L54" i="12"/>
  <c r="D54" i="12"/>
  <c r="D61" i="12" s="1"/>
  <c r="D63" i="12" s="1"/>
  <c r="N54" i="12"/>
  <c r="E54" i="12"/>
  <c r="E61" i="12" s="1"/>
  <c r="O54" i="12"/>
  <c r="M54" i="12"/>
  <c r="F54" i="12"/>
  <c r="F61" i="12" s="1"/>
  <c r="P54" i="12"/>
  <c r="G54" i="12"/>
  <c r="G61" i="12" s="1"/>
  <c r="Q54" i="12"/>
  <c r="H54" i="12"/>
  <c r="T54" i="12"/>
  <c r="J54" i="12"/>
  <c r="R54" i="12"/>
  <c r="C54" i="12"/>
  <c r="K54" i="12"/>
  <c r="N61" i="12" l="1"/>
  <c r="N63" i="12" s="1"/>
  <c r="N64" i="12" s="1"/>
  <c r="L61" i="12"/>
  <c r="L63" i="12" s="1"/>
  <c r="L64" i="12" s="1"/>
  <c r="H61" i="12"/>
  <c r="H63" i="12" s="1"/>
  <c r="H64" i="12" s="1"/>
  <c r="K61" i="12"/>
  <c r="P61" i="12"/>
  <c r="P63" i="12" s="1"/>
  <c r="P64" i="12" s="1"/>
  <c r="I61" i="12"/>
  <c r="I63" i="12" s="1"/>
  <c r="I64" i="12" s="1"/>
  <c r="C61" i="12"/>
  <c r="Q61" i="12"/>
  <c r="Q63" i="12" s="1"/>
  <c r="Q64" i="12" s="1"/>
  <c r="R61" i="12"/>
  <c r="M61" i="12"/>
  <c r="M63" i="12" s="1"/>
  <c r="M64" i="12" s="1"/>
  <c r="J61" i="12"/>
  <c r="J63" i="12" s="1"/>
  <c r="J64" i="12" s="1"/>
  <c r="O61" i="12"/>
  <c r="O63" i="12" s="1"/>
  <c r="O64" i="12" s="1"/>
  <c r="S64" i="12"/>
  <c r="T61" i="12"/>
  <c r="T63" i="12" s="1"/>
  <c r="T64" i="12" s="1"/>
  <c r="D32" i="13"/>
  <c r="G32" i="13"/>
  <c r="L32" i="13"/>
  <c r="E31" i="13"/>
  <c r="E32" i="13" s="1"/>
  <c r="J32" i="13"/>
  <c r="I32" i="13"/>
  <c r="B38" i="13"/>
  <c r="W29" i="13"/>
  <c r="B37" i="13"/>
  <c r="C37" i="13" s="1"/>
  <c r="M32" i="13"/>
  <c r="H32" i="13"/>
  <c r="C31" i="13"/>
  <c r="C32" i="13"/>
  <c r="F63" i="12"/>
  <c r="F64" i="12"/>
  <c r="E63" i="12"/>
  <c r="E64" i="12" s="1"/>
  <c r="D64" i="12"/>
  <c r="G63" i="12"/>
  <c r="G64" i="12" s="1"/>
  <c r="W54" i="12"/>
  <c r="C63" i="12" l="1"/>
  <c r="C64" i="12" s="1"/>
  <c r="K63" i="12"/>
  <c r="K64" i="12" s="1"/>
  <c r="R63" i="12"/>
  <c r="R64" i="12" s="1"/>
  <c r="W61" i="12"/>
  <c r="B69" i="12"/>
  <c r="B70" i="12"/>
  <c r="W31" i="13"/>
  <c r="W32" i="13"/>
  <c r="B46" i="13"/>
  <c r="B45" i="13"/>
  <c r="C45" i="13" s="1"/>
  <c r="W58" i="12"/>
  <c r="B78" i="12" l="1"/>
  <c r="B77" i="12"/>
  <c r="W64" i="12"/>
  <c r="W63" i="12"/>
</calcChain>
</file>

<file path=xl/sharedStrings.xml><?xml version="1.0" encoding="utf-8"?>
<sst xmlns="http://schemas.openxmlformats.org/spreadsheetml/2006/main" count="942" uniqueCount="104">
  <si>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</si>
  <si>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</si>
  <si>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</si>
  <si>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</si>
  <si>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</si>
  <si>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</si>
  <si>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</si>
  <si>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</si>
  <si>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</si>
  <si>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</si>
  <si>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</si>
  <si>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</si>
  <si>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</si>
  <si>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</si>
  <si>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</si>
  <si>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</si>
  <si>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</si>
  <si>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</si>
  <si>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</si>
  <si>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</si>
  <si>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</si>
  <si>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</si>
  <si>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</si>
  <si>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</si>
  <si>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</si>
  <si>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</si>
  <si>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</si>
  <si>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IRR</t>
  </si>
  <si>
    <t>หมายเหตุ</t>
  </si>
  <si>
    <t>เงินลงทุน (ผู้ลงทุน)</t>
  </si>
  <si>
    <t>เท่า ของเงินลงทุน</t>
  </si>
  <si>
    <t>Break even Point</t>
  </si>
  <si>
    <t xml:space="preserve"> </t>
  </si>
  <si>
    <t>บาท</t>
  </si>
  <si>
    <t>ภาษี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</si>
  <si>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</si>
  <si>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</si>
  <si>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1.ค่าไฟฟ้าจากหน่วยงานที่บริษัทติดตั้ง</t>
  </si>
  <si>
    <t>2.เงินลงทุนจากผู้ร่วมลงทุน</t>
  </si>
  <si>
    <t>ลงทุนค่าห้องปฏิบัติการให้แก่ มทร.</t>
  </si>
  <si>
    <t xml:space="preserve">   ผลิตไฟฟ้าได้วันละ </t>
  </si>
  <si>
    <t xml:space="preserve">   TOU</t>
  </si>
  <si>
    <t xml:space="preserve">         Peak</t>
  </si>
  <si>
    <t xml:space="preserve">        Off Peak</t>
  </si>
  <si>
    <t xml:space="preserve">               จำนวนวันต่อปี</t>
  </si>
  <si>
    <t>บาท/เดือน</t>
  </si>
  <si>
    <t>ค่าบำรุงรักษา</t>
  </si>
  <si>
    <t>(คำนวณจากฐานการลงทุน)</t>
  </si>
  <si>
    <t>ค่าบำรุงรักษา - สำรองค่าบำรุงรักษาตั้งแต่ปีที่ 3 เป็นต้นไป</t>
  </si>
  <si>
    <t>ภาษีธุรกิจ</t>
  </si>
  <si>
    <t>จากกำไรสุทธิ</t>
  </si>
  <si>
    <t>ลงทุนติดตั้งแผงโซล่าร์เซลล์และอุปกรณ์</t>
  </si>
  <si>
    <t>ลงุทนค่าห้องปฏิบัติการ</t>
  </si>
  <si>
    <t>ค่าไฟฟ้าจากหน่วยงาน (ภาพรวม)</t>
  </si>
  <si>
    <t>ผลตอบแทนบริษัทอภิมุข</t>
  </si>
  <si>
    <t>ค่าใช้จ่ายในการบริหาร (ควบคุมดูแล)</t>
  </si>
  <si>
    <t>ผลตอบแทนให้แก่ IND</t>
  </si>
  <si>
    <t>ค่าใช้จ่ายในการบริหาร  - เดือนละ 300,000 บาท (จำนวน 10 คน)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</si>
  <si>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459.54</t>
    </r>
    <r>
      <rPr>
        <sz val="10"/>
        <rFont val="Tahoma"/>
        <family val="2"/>
      </rPr>
      <t xml:space="preserve"> ยูนิต)</t>
    </r>
  </si>
  <si>
    <t>2.เงินลงทุนจากผู้ร่วมลงทุน (ภาพรวม)</t>
  </si>
  <si>
    <t>ลงทุนค่าห้องปฏิบัติการให้แก่ มทร. (ภาพรวม)</t>
  </si>
  <si>
    <t>ลงทุนติดตั้งแผงโซล่าร์เซลล์ ให้แก่ มทร.เชียงราย</t>
  </si>
  <si>
    <t xml:space="preserve">จ่ายคืนผู้ลงทุน 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</si>
  <si>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604.44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</si>
  <si>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341.55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</si>
  <si>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มทร.เชียงใหม่</t>
  </si>
  <si>
    <t>ลงทุนติดตั้งแผงโซล่าร์เซลล์ ให้แก่ มทร.ตาก (มิเตอร์ 1)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</si>
  <si>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408.48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</si>
  <si>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110.4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</si>
  <si>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ลงทุนติดตั้งแผงโซล่าร์เซลล์และอุปกรณ์ (รายละเอียดตามเอกสารแนบ)</t>
  </si>
  <si>
    <t>ลงทุนติดตั้งแผงโซล่าร์เซลล์ ให้แก่ มทร.ตาก (มิเตอร์ 2)</t>
  </si>
  <si>
    <t>ลงทุนติดตั้งแผงโซล่าร์เซลล์ ให้แก่ มทร.ตาก (มิเตอร์ 3)</t>
  </si>
  <si>
    <t>ลงทุนติดตั้งแผงโซล่าร์เซลล์ ให้แก่ มทร.น่าน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</si>
  <si>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139.38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</si>
  <si>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มทร.พิษณุโลก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</si>
  <si>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350.52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</si>
  <si>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เชียงใหม่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</si>
  <si>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999.8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</si>
  <si>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เจ็ดยอด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</si>
  <si>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149.04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</si>
  <si>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536.06</t>
    </r>
    <r>
      <rPr>
        <sz val="10"/>
        <rFont val="Tahoma"/>
        <family val="2"/>
      </rPr>
      <t xml:space="preserve"> ยูนิต)</t>
    </r>
  </si>
  <si>
    <t xml:space="preserve">   1.1 มทร.เชียงใหม่</t>
  </si>
  <si>
    <t xml:space="preserve">   1.2 มทร.เชียงราย</t>
  </si>
  <si>
    <t xml:space="preserve">   1.3 มทร.ดอยสะเก็ด</t>
  </si>
  <si>
    <t xml:space="preserve">   1.4  มทร.ตาก(มิเตอร์ 1)</t>
  </si>
  <si>
    <t xml:space="preserve">   1.5  มทร.ตาก(มิเตอร์ 2)</t>
  </si>
  <si>
    <t xml:space="preserve">   1.6  มทร.ตาก(มิเตอร์ 3)</t>
  </si>
  <si>
    <t xml:space="preserve">   1.7  มทร.น่าน</t>
  </si>
  <si>
    <t xml:space="preserve">   1.8  มทร.พิษณุโลก</t>
  </si>
  <si>
    <t xml:space="preserve">   1.9  มทร.ภาคพายัพ เชียงใหม่</t>
  </si>
  <si>
    <t xml:space="preserve">   1.10  มทร.ภาคพายัพ เจ็ดยอด</t>
  </si>
  <si>
    <t xml:space="preserve">   1.11  มทร.ลำปาง</t>
  </si>
  <si>
    <t xml:space="preserve">1.ค่าไฟฟ้าจากหน่วยงานที่บริษัทติดตั้ง จำนวน 11 แห่ง     </t>
  </si>
  <si>
    <t>กำลังการผลิด/ชั่วโมง</t>
  </si>
  <si>
    <t>รวม</t>
  </si>
  <si>
    <t xml:space="preserve">คำนวณการใช้ไฟจริง ปี 2566-67 </t>
  </si>
  <si>
    <t>ประมาณการ การใช้ไฟ</t>
  </si>
  <si>
    <t xml:space="preserve">คำนวณค่าอุปกรณ์การติดตั้งแผงโซล่าร์เซลล์ </t>
  </si>
  <si>
    <t xml:space="preserve">1.ค่าอุปกรณ์และการติดตั้งแผงโซล่าร์เซลล์ จำนวน 11 แห่ง     </t>
  </si>
  <si>
    <t>ต้นทุนติดตั้งแผงโซล่าร์เซลล์และอุปกรณ์ให้แก่ มทร.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</si>
  <si>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คิดชม.ละ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</si>
  <si>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r>
      <t>รายได้บริษัท</t>
    </r>
    <r>
      <rPr>
        <i/>
        <sz val="16"/>
        <color rgb="FFC00000"/>
        <rFont val="Angsana New"/>
        <family val="1"/>
      </rPr>
      <t>ก่อนหักภาษี</t>
    </r>
  </si>
  <si>
    <t>ค่าห้องปฏิบัติการ (ตามข้อตกลง)</t>
  </si>
  <si>
    <t>จ่ายคืนผู้ลงทุน (5.92 ปี คำนวณที่ 80% หลังจากนั้นคำนวณที่ 50% ของรายได้)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</si>
</sst>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0.7999816888943144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4" tint="-0.499984740745262"/>
      <name val="Angsana New"/>
      <family val="1"/>
    </font>
    <font>
      <b/>
      <sz val="16"/>
      <color theme="4" tint="-0.499984740745262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i/>
      <sz val="16"/>
      <name val="Angsana New"/>
      <family val="1"/>
    </font>
    <font>
      <i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i/>
      <sz val="16"/>
      <color rgb="FFFF0000"/>
      <name val="Angsana New"/>
      <family val="1"/>
    </font>
    <font>
      <i/>
      <sz val="16"/>
      <color rgb="FFC00000"/>
      <name val="Angsana New"/>
      <family val="1"/>
    </font>
    <font>
      <i/>
      <sz val="16"/>
      <color theme="9" tint="0.79998168889431442"/>
      <name val="Angsana New"/>
      <family val="1"/>
    </font>
    <font>
      <sz val="16"/>
      <color theme="0"/>
      <name val="Angsana New"/>
      <family val="1"/>
    </font>
    <font>
      <sz val="16"/>
      <color theme="2"/>
      <name val="Angsana New"/>
      <family val="1"/>
    </font>
    <font>
      <b/>
      <i/>
      <sz val="16"/>
      <color theme="1"/>
      <name val="Angsana New"/>
      <family val="1"/>
    </font>
    <font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8"/>
      <color theme="4" tint="-0.499984740745262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6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165" fontId="6" fillId="0" borderId="0" xfId="1" applyFont="1"/>
    <xf numFmtId="165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5" fontId="8" fillId="0" borderId="0" xfId="0" applyNumberFormat="1" applyFont="1"/>
    <xf numFmtId="0" fontId="9" fillId="2" borderId="0" xfId="0" applyFont="1" applyFill="1"/>
    <xf numFmtId="164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165" fontId="10" fillId="0" borderId="0" xfId="0" applyNumberFormat="1" applyFont="1"/>
    <xf numFmtId="0" fontId="2" fillId="0" borderId="0" xfId="0" applyFont="1"/>
    <xf numFmtId="165" fontId="11" fillId="0" borderId="0" xfId="0" applyNumberFormat="1" applyFont="1"/>
    <xf numFmtId="2" fontId="0" fillId="0" borderId="0" xfId="0" applyNumberFormat="1"/>
    <xf numFmtId="43" fontId="0" fillId="0" borderId="0" xfId="0" applyNumberFormat="1"/>
    <xf numFmtId="165" fontId="9" fillId="2" borderId="0" xfId="1" applyFont="1" applyFill="1"/>
    <xf numFmtId="0" fontId="12" fillId="0" borderId="0" xfId="0" applyFont="1"/>
    <xf numFmtId="165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165" fontId="6" fillId="5" borderId="0" xfId="0" applyNumberFormat="1" applyFont="1" applyFill="1"/>
    <xf numFmtId="165" fontId="15" fillId="0" borderId="0" xfId="1" applyFont="1"/>
    <xf numFmtId="165" fontId="15" fillId="0" borderId="0" xfId="0" applyNumberFormat="1" applyFont="1"/>
    <xf numFmtId="0" fontId="16" fillId="0" borderId="0" xfId="0" applyFont="1"/>
    <xf numFmtId="165" fontId="16" fillId="0" borderId="0" xfId="0" applyNumberFormat="1" applyFont="1"/>
    <xf numFmtId="167" fontId="4" fillId="4" borderId="0" xfId="1" applyNumberFormat="1" applyFont="1" applyFill="1" applyAlignment="1" applyProtection="1">
      <alignment vertical="center"/>
      <protection locked="0"/>
    </xf>
    <xf numFmtId="0" fontId="17" fillId="0" borderId="0" xfId="0" applyFont="1"/>
    <xf numFmtId="165" fontId="17" fillId="0" borderId="0" xfId="0" applyNumberFormat="1" applyFont="1"/>
    <xf numFmtId="165" fontId="18" fillId="0" borderId="0" xfId="0" applyNumberFormat="1" applyFont="1"/>
    <xf numFmtId="0" fontId="19" fillId="5" borderId="0" xfId="0" applyFont="1" applyFill="1"/>
    <xf numFmtId="0" fontId="19" fillId="0" borderId="0" xfId="0" applyFont="1"/>
    <xf numFmtId="167" fontId="4" fillId="0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4" fillId="5" borderId="0" xfId="3" applyFont="1" applyFill="1" applyAlignment="1" applyProtection="1">
      <alignment vertical="center"/>
      <protection locked="0"/>
    </xf>
    <xf numFmtId="37" fontId="4" fillId="5" borderId="0" xfId="3" applyNumberFormat="1" applyFont="1" applyFill="1" applyAlignment="1" applyProtection="1">
      <alignment vertical="center"/>
      <protection locked="0"/>
    </xf>
    <xf numFmtId="167" fontId="4" fillId="5" borderId="0" xfId="1" applyNumberFormat="1" applyFont="1" applyFill="1" applyAlignment="1" applyProtection="1">
      <alignment vertical="center"/>
      <protection locked="0"/>
    </xf>
    <xf numFmtId="9" fontId="4" fillId="0" borderId="0" xfId="2" applyFont="1" applyFill="1" applyAlignment="1" applyProtection="1">
      <alignment vertical="center"/>
      <protection locked="0"/>
    </xf>
    <xf numFmtId="43" fontId="6" fillId="0" borderId="0" xfId="0" applyNumberFormat="1" applyFont="1" applyAlignment="1">
      <alignment horizontal="center"/>
    </xf>
    <xf numFmtId="166" fontId="20" fillId="5" borderId="0" xfId="0" applyNumberFormat="1" applyFont="1" applyFill="1"/>
    <xf numFmtId="165" fontId="21" fillId="0" borderId="0" xfId="1" applyFont="1"/>
    <xf numFmtId="0" fontId="22" fillId="6" borderId="0" xfId="0" applyFont="1" applyFill="1"/>
    <xf numFmtId="0" fontId="22" fillId="0" borderId="0" xfId="0" applyFont="1"/>
    <xf numFmtId="0" fontId="23" fillId="0" borderId="0" xfId="3" applyFont="1" applyAlignment="1" applyProtection="1">
      <alignment vertical="center"/>
      <protection locked="0"/>
    </xf>
    <xf numFmtId="0" fontId="24" fillId="6" borderId="0" xfId="0" applyFont="1" applyFill="1"/>
    <xf numFmtId="165" fontId="22" fillId="6" borderId="0" xfId="1" applyFont="1" applyFill="1"/>
    <xf numFmtId="0" fontId="25" fillId="9" borderId="0" xfId="0" applyFont="1" applyFill="1" applyAlignment="1">
      <alignment horizontal="right"/>
    </xf>
    <xf numFmtId="165" fontId="26" fillId="9" borderId="0" xfId="0" applyNumberFormat="1" applyFont="1" applyFill="1"/>
    <xf numFmtId="0" fontId="24" fillId="0" borderId="0" xfId="0" applyFont="1" applyAlignment="1">
      <alignment horizontal="right"/>
    </xf>
    <xf numFmtId="165" fontId="22" fillId="0" borderId="0" xfId="0" applyNumberFormat="1" applyFont="1"/>
    <xf numFmtId="0" fontId="22" fillId="5" borderId="0" xfId="0" applyFont="1" applyFill="1"/>
    <xf numFmtId="0" fontId="23" fillId="5" borderId="0" xfId="3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166" fontId="23" fillId="0" borderId="0" xfId="4" applyNumberFormat="1" applyFont="1" applyFill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3" borderId="0" xfId="3" applyFont="1" applyFill="1" applyAlignment="1" applyProtection="1">
      <alignment vertical="center"/>
      <protection locked="0"/>
    </xf>
    <xf numFmtId="37" fontId="23" fillId="0" borderId="0" xfId="3" applyNumberFormat="1" applyFont="1" applyAlignment="1" applyProtection="1">
      <alignment vertical="center"/>
      <protection locked="0"/>
    </xf>
    <xf numFmtId="167" fontId="23" fillId="4" borderId="0" xfId="1" applyNumberFormat="1" applyFont="1" applyFill="1" applyAlignment="1" applyProtection="1">
      <alignment vertical="center"/>
      <protection locked="0"/>
    </xf>
    <xf numFmtId="0" fontId="24" fillId="0" borderId="0" xfId="0" applyFont="1"/>
    <xf numFmtId="167" fontId="23" fillId="0" borderId="0" xfId="1" applyNumberFormat="1" applyFont="1" applyFill="1" applyAlignment="1" applyProtection="1">
      <alignment vertical="center"/>
      <protection locked="0"/>
    </xf>
    <xf numFmtId="37" fontId="23" fillId="5" borderId="0" xfId="3" applyNumberFormat="1" applyFont="1" applyFill="1" applyAlignment="1" applyProtection="1">
      <alignment vertical="center"/>
      <protection locked="0"/>
    </xf>
    <xf numFmtId="167" fontId="23" fillId="5" borderId="0" xfId="1" applyNumberFormat="1" applyFont="1" applyFill="1" applyAlignment="1" applyProtection="1">
      <alignment vertical="center"/>
      <protection locked="0"/>
    </xf>
    <xf numFmtId="0" fontId="22" fillId="8" borderId="0" xfId="0" applyFont="1" applyFill="1"/>
    <xf numFmtId="0" fontId="24" fillId="8" borderId="0" xfId="0" applyFont="1" applyFill="1"/>
    <xf numFmtId="165" fontId="22" fillId="8" borderId="0" xfId="1" applyFont="1" applyFill="1"/>
    <xf numFmtId="0" fontId="25" fillId="7" borderId="0" xfId="0" applyFont="1" applyFill="1" applyAlignment="1">
      <alignment horizontal="right"/>
    </xf>
    <xf numFmtId="165" fontId="26" fillId="7" borderId="0" xfId="0" applyNumberFormat="1" applyFont="1" applyFill="1"/>
    <xf numFmtId="9" fontId="23" fillId="0" borderId="0" xfId="2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30" fillId="0" borderId="0" xfId="0" applyFont="1"/>
    <xf numFmtId="165" fontId="30" fillId="0" borderId="0" xfId="1" applyFont="1"/>
    <xf numFmtId="165" fontId="31" fillId="0" borderId="0" xfId="0" applyNumberFormat="1" applyFont="1"/>
    <xf numFmtId="0" fontId="30" fillId="0" borderId="0" xfId="0" applyFont="1" applyAlignment="1">
      <alignment horizontal="center"/>
    </xf>
    <xf numFmtId="165" fontId="32" fillId="0" borderId="0" xfId="0" applyNumberFormat="1" applyFont="1"/>
    <xf numFmtId="165" fontId="29" fillId="0" borderId="0" xfId="0" applyNumberFormat="1" applyFont="1"/>
    <xf numFmtId="165" fontId="30" fillId="0" borderId="0" xfId="0" applyNumberFormat="1" applyFont="1"/>
    <xf numFmtId="43" fontId="30" fillId="0" borderId="0" xfId="0" applyNumberFormat="1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0" fillId="5" borderId="0" xfId="0" applyFont="1" applyFill="1"/>
    <xf numFmtId="166" fontId="34" fillId="5" borderId="0" xfId="0" applyNumberFormat="1" applyFont="1" applyFill="1"/>
    <xf numFmtId="165" fontId="30" fillId="5" borderId="0" xfId="0" applyNumberFormat="1" applyFont="1" applyFill="1"/>
    <xf numFmtId="0" fontId="35" fillId="0" borderId="0" xfId="0" applyFont="1"/>
    <xf numFmtId="165" fontId="35" fillId="0" borderId="0" xfId="0" applyNumberFormat="1" applyFont="1"/>
    <xf numFmtId="0" fontId="26" fillId="0" borderId="0" xfId="0" applyFont="1"/>
    <xf numFmtId="165" fontId="36" fillId="0" borderId="0" xfId="0" applyNumberFormat="1" applyFont="1"/>
    <xf numFmtId="0" fontId="36" fillId="0" borderId="0" xfId="0" applyFont="1"/>
    <xf numFmtId="0" fontId="37" fillId="2" borderId="0" xfId="0" applyFont="1" applyFill="1"/>
    <xf numFmtId="164" fontId="37" fillId="2" borderId="0" xfId="0" applyNumberFormat="1" applyFont="1" applyFill="1"/>
    <xf numFmtId="2" fontId="22" fillId="0" borderId="0" xfId="0" applyNumberFormat="1" applyFont="1"/>
    <xf numFmtId="10" fontId="37" fillId="2" borderId="0" xfId="2" applyNumberFormat="1" applyFont="1" applyFill="1"/>
    <xf numFmtId="165" fontId="37" fillId="2" borderId="0" xfId="1" applyFont="1" applyFill="1"/>
    <xf numFmtId="43" fontId="22" fillId="0" borderId="0" xfId="0" applyNumberFormat="1" applyFont="1"/>
    <xf numFmtId="165" fontId="38" fillId="0" borderId="0" xfId="1" applyFont="1"/>
    <xf numFmtId="165" fontId="38" fillId="0" borderId="0" xfId="0" applyNumberFormat="1" applyFont="1"/>
    <xf numFmtId="0" fontId="39" fillId="0" borderId="0" xfId="0" applyFont="1"/>
    <xf numFmtId="0" fontId="32" fillId="0" borderId="0" xfId="0" applyFont="1"/>
    <xf numFmtId="165" fontId="32" fillId="0" borderId="0" xfId="1" applyFont="1"/>
    <xf numFmtId="0" fontId="26" fillId="6" borderId="0" xfId="0" applyFont="1" applyFill="1"/>
    <xf numFmtId="0" fontId="25" fillId="5" borderId="0" xfId="0" applyFont="1" applyFill="1"/>
    <xf numFmtId="0" fontId="40" fillId="5" borderId="0" xfId="0" applyFont="1" applyFill="1"/>
    <xf numFmtId="0" fontId="32" fillId="0" borderId="0" xfId="0" applyFont="1" applyAlignment="1">
      <alignment wrapText="1"/>
    </xf>
  </cellXfs>
  <cellStyles count="5">
    <cellStyle name="Comma" xfId="1" builtinId="3"/>
    <cellStyle name="Normal" xfId="0" builtinId="0"/>
    <cellStyle name="Normal_ch19" xfId="3" xr:uid="{00000000-0005-0000-0000-000002000000}"/>
    <cellStyle name="Percent" xfId="2" builtinId="5"/>
    <cellStyle name="เครื่องหมายจุลภาค_EXCEL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มทร.เชียงราย!$A$35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มทร.เชียงราย!$B$34:$V$34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มทร.เชียงราย!$B$35:$V$35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58F-85E4-CC0B6AB2EC9F}"/>
            </c:ext>
          </c:extLst>
        </c:ser>
        <c:ser>
          <c:idx val="1"/>
          <c:order val="1"/>
          <c:tx>
            <c:strRef>
              <c:f>มทร.เชียงราย!$A$41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มทร.เชียงราย!$B$34:$V$34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มทร.เชียงราย!$B$41:$V$41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A-458F-85E4-CC0B6AB2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มทร.ดอยสะเก็ด!$A$35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มทร.ดอยสะเก็ด!$B$34:$V$34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มทร.ดอยสะเก็ด!$B$35:$V$35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795-BEF5-68D55C1C1AB6}"/>
            </c:ext>
          </c:extLst>
        </c:ser>
        <c:ser>
          <c:idx val="1"/>
          <c:order val="1"/>
          <c:tx>
            <c:strRef>
              <c:f>มทร.ดอยสะเก็ด!$A$41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มทร.ดอยสะเก็ด!$B$34:$V$34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มทร.ดอยสะเก็ด!$B$41:$V$41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B-4795-BEF5-68D55C1C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มทร.ตาก1!$A$35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มทร.ตาก1!$B$34:$V$34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มทร.ตาก1!$B$35:$V$35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B-4ED5-8AFD-11CB16303BD8}"/>
            </c:ext>
          </c:extLst>
        </c:ser>
        <c:ser>
          <c:idx val="1"/>
          <c:order val="1"/>
          <c:tx>
            <c:strRef>
              <c:f>มทร.ตาก1!$A$41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มทร.ตาก1!$B$34:$V$34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มทร.ตาก1!$B$41:$V$41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B-4ED5-8AFD-11CB16303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มทร.ตาก2!$A$35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มทร.ตาก2!$B$34:$V$34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มทร.ตาก2!$B$35:$V$35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F-474B-AF6F-E914AA3F249D}"/>
            </c:ext>
          </c:extLst>
        </c:ser>
        <c:ser>
          <c:idx val="1"/>
          <c:order val="1"/>
          <c:tx>
            <c:strRef>
              <c:f>มทร.ตาก2!$A$41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มทร.ตาก2!$B$34:$V$34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มทร.ตาก2!$B$41:$V$41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F-474B-AF6F-E914AA3F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มทร.ตาก3!$A$35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มทร.ตาก3!$B$34:$V$34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มทร.ตาก3!$B$35:$V$35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D-4433-BE6C-A107EFFAFA67}"/>
            </c:ext>
          </c:extLst>
        </c:ser>
        <c:ser>
          <c:idx val="1"/>
          <c:order val="1"/>
          <c:tx>
            <c:strRef>
              <c:f>มทร.ตาก3!$A$41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มทร.ตาก3!$B$34:$V$34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มทร.ตาก3!$B$41:$V$41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D-4433-BE6C-A107EFFA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มทร.น่าน!$A$35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มทร.น่าน!$B$34:$V$34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มทร.น่าน!$B$35:$V$35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9-4712-9E24-36F6BB478EA8}"/>
            </c:ext>
          </c:extLst>
        </c:ser>
        <c:ser>
          <c:idx val="1"/>
          <c:order val="1"/>
          <c:tx>
            <c:strRef>
              <c:f>มทร.น่าน!$A$41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มทร.น่าน!$B$34:$V$34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มทร.น่าน!$B$41:$V$41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9-4712-9E24-36F6BB478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มทร.พิษณุโลก!$A$35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มทร.พิษณุโลก!$B$34:$V$34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มทร.พิษณุโลก!$B$35:$V$35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7-42C4-8DEF-D097AA34C14F}"/>
            </c:ext>
          </c:extLst>
        </c:ser>
        <c:ser>
          <c:idx val="1"/>
          <c:order val="1"/>
          <c:tx>
            <c:strRef>
              <c:f>มทร.พิษณุโลก!$A$41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มทร.พิษณุโลก!$B$34:$V$34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มทร.พิษณุโลก!$B$41:$V$41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7-42C4-8DEF-D097AA34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'มทร.ภาคพายัพ เชียงใหม่'!$A$35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'มทร.ภาคพายัพ เชียงใหม่'!$B$34:$V$34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'มทร.ภาคพายัพ เชียงใหม่'!$B$35:$V$35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453-97F9-70B3AF289144}"/>
            </c:ext>
          </c:extLst>
        </c:ser>
        <c:ser>
          <c:idx val="1"/>
          <c:order val="1"/>
          <c:tx>
            <c:strRef>
              <c:f>'มทร.ภาคพายัพ เชียงใหม่'!$A$41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'มทร.ภาคพายัพ เชียงใหม่'!$B$34:$V$34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'มทร.ภาคพายัพ เชียงใหม่'!$B$41:$V$41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453-97F9-70B3AF289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เปรียบเทียบผลตอบแทนการลงทุน</a:t>
            </a:r>
            <a:endParaRPr lang="en-US"/>
          </a:p>
        </c:rich>
      </c:tx>
      <c:layout>
        <c:manualLayout>
          <c:xMode val="edge"/>
          <c:yMode val="edge"/>
          <c:x val="0.37816434724983433"/>
          <c:y val="2.928301517273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'มทร.ภาคพายัพ เจ็ดยอด'!$A$35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'มทร.ภาคพายัพ เจ็ดยอด'!$B$34:$V$34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'มทร.ภาคพายัพ เจ็ดยอด'!$B$35:$V$35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4-4B49-A659-8A581FC8A651}"/>
            </c:ext>
          </c:extLst>
        </c:ser>
        <c:ser>
          <c:idx val="1"/>
          <c:order val="1"/>
          <c:tx>
            <c:strRef>
              <c:f>'มทร.ภาคพายัพ เจ็ดยอด'!$A$41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'มทร.ภาคพายัพ เจ็ดยอด'!$B$34:$V$34</c:f>
              <c:numCache>
                <c:formatCode>_(* #,##0.00_);_(* \(#,##0.00\);_(* "-"??_);_(@_)</c:formatCode>
                <c:ptCount val="21"/>
              </c:numCache>
            </c:numRef>
          </c:cat>
          <c:val>
            <c:numRef>
              <c:f>'มทร.ภาคพายัพ เจ็ดยอด'!$B$41:$V$41</c:f>
              <c:numCache>
                <c:formatCode>_(* #,##0.00_);_(* \(#,##0.00\);_(* "-"??_);_(@_)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4-4B49-A659-8A581FC8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43696"/>
        <c:axId val="455545664"/>
      </c:lineChart>
      <c:catAx>
        <c:axId val="45554369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5664"/>
        <c:crosses val="autoZero"/>
        <c:auto val="1"/>
        <c:lblAlgn val="ctr"/>
        <c:lblOffset val="100"/>
        <c:noMultiLvlLbl val="0"/>
      </c:catAx>
      <c:valAx>
        <c:axId val="455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54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49</xdr:row>
      <xdr:rowOff>41910</xdr:rowOff>
    </xdr:from>
    <xdr:to>
      <xdr:col>6</xdr:col>
      <xdr:colOff>68580</xdr:colOff>
      <xdr:row>80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tabSelected="1" topLeftCell="A60" zoomScale="99" zoomScaleNormal="99" workbookViewId="0">
      <selection activeCell="C63" sqref="C63"/>
    </sheetView>
  </sheetViews>
  <sheetFormatPr defaultColWidth="8.90625" defaultRowHeight="23" x14ac:dyDescent="0.7"/>
  <cols>
    <col min="1" max="1" width="53.6328125" style="47" bestFit="1" customWidth="1"/>
    <col min="2" max="2" width="15.81640625" style="47" customWidth="1"/>
    <col min="3" max="3" width="14.81640625" style="47" customWidth="1"/>
    <col min="4" max="4" width="14.54296875" style="47" customWidth="1"/>
    <col min="5" max="5" width="14.6328125" style="47" customWidth="1"/>
    <col min="6" max="19" width="14.90625" style="47" bestFit="1" customWidth="1"/>
    <col min="20" max="22" width="14" style="47" customWidth="1"/>
    <col min="23" max="23" width="15.81640625" style="47" customWidth="1"/>
    <col min="24" max="16384" width="8.90625" style="47"/>
  </cols>
  <sheetData>
    <row r="1" spans="1:22" x14ac:dyDescent="0.7">
      <c r="A1" s="103" t="s">
        <v>95</v>
      </c>
      <c r="B1" s="46"/>
      <c r="D1" s="48"/>
    </row>
    <row r="2" spans="1:22" x14ac:dyDescent="0.7">
      <c r="A2" s="49" t="s">
        <v>92</v>
      </c>
      <c r="B2" s="46" t="s">
        <v>93</v>
      </c>
      <c r="D2" s="48"/>
    </row>
    <row r="3" spans="1:22" x14ac:dyDescent="0.7">
      <c r="A3" s="49" t="s">
        <v>81</v>
      </c>
      <c r="B3" s="50">
        <v>604.44000000000005</v>
      </c>
      <c r="D3" s="48"/>
    </row>
    <row r="4" spans="1:22" x14ac:dyDescent="0.7">
      <c r="A4" s="49" t="s">
        <v>82</v>
      </c>
      <c r="B4" s="50">
        <v>459.54</v>
      </c>
      <c r="D4" s="48"/>
    </row>
    <row r="5" spans="1:22" x14ac:dyDescent="0.7">
      <c r="A5" s="49" t="s">
        <v>83</v>
      </c>
      <c r="B5" s="50">
        <v>341.55</v>
      </c>
      <c r="D5" s="48"/>
    </row>
    <row r="6" spans="1:22" x14ac:dyDescent="0.7">
      <c r="A6" s="49" t="s">
        <v>84</v>
      </c>
      <c r="B6" s="50">
        <v>408.48</v>
      </c>
      <c r="D6" s="48"/>
    </row>
    <row r="7" spans="1:22" x14ac:dyDescent="0.7">
      <c r="A7" s="49" t="s">
        <v>85</v>
      </c>
      <c r="B7" s="50">
        <v>110.4</v>
      </c>
      <c r="D7" s="48"/>
    </row>
    <row r="8" spans="1:22" x14ac:dyDescent="0.7">
      <c r="A8" s="49" t="s">
        <v>86</v>
      </c>
      <c r="B8" s="50">
        <v>408.48</v>
      </c>
      <c r="D8" s="48"/>
    </row>
    <row r="9" spans="1:22" x14ac:dyDescent="0.7">
      <c r="A9" s="49" t="s">
        <v>87</v>
      </c>
      <c r="B9" s="50">
        <v>139.38</v>
      </c>
      <c r="D9" s="48"/>
    </row>
    <row r="10" spans="1:22" x14ac:dyDescent="0.7">
      <c r="A10" s="49" t="s">
        <v>88</v>
      </c>
      <c r="B10" s="50">
        <v>350.52</v>
      </c>
      <c r="D10" s="48"/>
    </row>
    <row r="11" spans="1:22" x14ac:dyDescent="0.7">
      <c r="A11" s="49" t="s">
        <v>89</v>
      </c>
      <c r="B11" s="50">
        <v>999.8</v>
      </c>
      <c r="D11" s="48"/>
    </row>
    <row r="12" spans="1:22" x14ac:dyDescent="0.7">
      <c r="A12" s="49" t="s">
        <v>90</v>
      </c>
      <c r="B12" s="50">
        <v>149.04</v>
      </c>
      <c r="D12" s="48"/>
    </row>
    <row r="13" spans="1:22" x14ac:dyDescent="0.7">
      <c r="A13" s="49" t="s">
        <v>91</v>
      </c>
      <c r="B13" s="50">
        <v>536.05999999999995</v>
      </c>
      <c r="D13" s="48"/>
    </row>
    <row r="14" spans="1:22" x14ac:dyDescent="0.7">
      <c r="A14" s="51" t="s">
        <v>94</v>
      </c>
      <c r="B14" s="52">
        <f>SUM(B3:B13)</f>
        <v>4507.6900000000005</v>
      </c>
      <c r="D14" s="48"/>
    </row>
    <row r="15" spans="1:22" x14ac:dyDescent="0.7">
      <c r="A15" s="53"/>
      <c r="B15" s="54"/>
      <c r="D15" s="48"/>
    </row>
    <row r="16" spans="1:22" ht="26" x14ac:dyDescent="0.8">
      <c r="A16" s="105" t="s">
        <v>26</v>
      </c>
      <c r="B16" s="55"/>
      <c r="C16" s="55"/>
      <c r="D16" s="5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x14ac:dyDescent="0.7">
      <c r="A17" s="53"/>
      <c r="B17" s="54"/>
      <c r="D17" s="48"/>
    </row>
    <row r="18" spans="1:22" x14ac:dyDescent="0.7">
      <c r="A18" s="57" t="s">
        <v>96</v>
      </c>
      <c r="B18" s="54"/>
      <c r="D18" s="48"/>
    </row>
    <row r="19" spans="1:22" x14ac:dyDescent="0.7">
      <c r="A19" s="48" t="s">
        <v>40</v>
      </c>
      <c r="B19" s="58">
        <f>5000*5</f>
        <v>25000</v>
      </c>
      <c r="C19" s="48" t="s">
        <v>100</v>
      </c>
      <c r="D19" s="48"/>
    </row>
    <row r="20" spans="1:22" x14ac:dyDescent="0.7">
      <c r="A20" s="59" t="s">
        <v>41</v>
      </c>
      <c r="B20" s="58"/>
      <c r="C20" s="48"/>
      <c r="D20" s="48"/>
    </row>
    <row r="21" spans="1:22" x14ac:dyDescent="0.7">
      <c r="A21" s="60" t="s">
        <v>42</v>
      </c>
      <c r="B21" s="58"/>
      <c r="C21" s="48"/>
      <c r="D21" s="48"/>
    </row>
    <row r="22" spans="1:22" x14ac:dyDescent="0.7">
      <c r="A22" s="61" t="s">
        <v>44</v>
      </c>
      <c r="B22" s="61">
        <v>246</v>
      </c>
      <c r="C22" s="48" t="s">
        <v>0</v>
      </c>
      <c r="D22" s="48" t="s">
        <v>1</v>
      </c>
      <c r="F22" s="62">
        <f>3.3471*1.07</f>
        <v>3.5813970000000004</v>
      </c>
      <c r="G22" s="47" t="s">
        <v>33</v>
      </c>
    </row>
    <row r="23" spans="1:22" x14ac:dyDescent="0.7">
      <c r="A23" s="60" t="s">
        <v>43</v>
      </c>
      <c r="B23" s="61"/>
      <c r="C23" s="48"/>
      <c r="D23" s="48"/>
    </row>
    <row r="24" spans="1:22" x14ac:dyDescent="0.7">
      <c r="A24" s="61" t="s">
        <v>44</v>
      </c>
      <c r="B24" s="61">
        <v>119</v>
      </c>
      <c r="C24" s="48" t="s">
        <v>0</v>
      </c>
      <c r="D24" s="48" t="s">
        <v>1</v>
      </c>
      <c r="F24" s="62">
        <f>2.0803*1.07</f>
        <v>2.225921</v>
      </c>
      <c r="G24" s="47" t="s">
        <v>33</v>
      </c>
    </row>
    <row r="25" spans="1:22" ht="22.25" customHeight="1" x14ac:dyDescent="0.7">
      <c r="A25" s="63" t="s">
        <v>38</v>
      </c>
      <c r="B25" s="61">
        <v>130000000</v>
      </c>
      <c r="C25" s="48" t="s">
        <v>33</v>
      </c>
      <c r="D25" s="48"/>
      <c r="F25" s="64"/>
    </row>
    <row r="26" spans="1:22" ht="22.25" customHeight="1" x14ac:dyDescent="0.7">
      <c r="A26" s="63"/>
      <c r="B26" s="61"/>
      <c r="C26" s="48"/>
      <c r="D26" s="48"/>
      <c r="F26" s="64"/>
    </row>
    <row r="27" spans="1:22" ht="22.25" customHeight="1" x14ac:dyDescent="0.7">
      <c r="A27" s="63"/>
      <c r="B27" s="61"/>
      <c r="C27" s="48"/>
      <c r="D27" s="48"/>
      <c r="F27" s="64"/>
    </row>
    <row r="28" spans="1:22" ht="26.4" customHeight="1" x14ac:dyDescent="0.7">
      <c r="A28" s="63"/>
      <c r="B28" s="61"/>
      <c r="C28" s="48"/>
      <c r="D28" s="48"/>
      <c r="F28" s="64"/>
    </row>
    <row r="29" spans="1:22" ht="26.4" customHeight="1" x14ac:dyDescent="0.7">
      <c r="A29" s="104" t="s">
        <v>25</v>
      </c>
      <c r="B29" s="65"/>
      <c r="C29" s="56"/>
      <c r="D29" s="56"/>
      <c r="E29" s="55"/>
      <c r="F29" s="66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7">
      <c r="A30" s="67" t="s">
        <v>97</v>
      </c>
      <c r="B30" s="67"/>
      <c r="D30" s="48"/>
    </row>
    <row r="31" spans="1:22" x14ac:dyDescent="0.7">
      <c r="A31" s="68" t="s">
        <v>98</v>
      </c>
      <c r="B31" s="67"/>
      <c r="D31" s="48"/>
    </row>
    <row r="32" spans="1:22" x14ac:dyDescent="0.7">
      <c r="A32" s="68" t="s">
        <v>81</v>
      </c>
      <c r="B32" s="69">
        <v>20358669.5</v>
      </c>
      <c r="D32" s="48"/>
    </row>
    <row r="33" spans="1:6" x14ac:dyDescent="0.7">
      <c r="A33" s="68" t="s">
        <v>82</v>
      </c>
      <c r="B33" s="69">
        <v>12814707</v>
      </c>
      <c r="D33" s="48"/>
    </row>
    <row r="34" spans="1:6" x14ac:dyDescent="0.7">
      <c r="A34" s="68" t="s">
        <v>83</v>
      </c>
      <c r="B34" s="69">
        <v>10038585</v>
      </c>
      <c r="D34" s="48"/>
    </row>
    <row r="35" spans="1:6" x14ac:dyDescent="0.7">
      <c r="A35" s="68" t="s">
        <v>84</v>
      </c>
      <c r="B35" s="69">
        <v>12863054</v>
      </c>
      <c r="D35" s="48"/>
    </row>
    <row r="36" spans="1:6" x14ac:dyDescent="0.7">
      <c r="A36" s="68" t="s">
        <v>85</v>
      </c>
      <c r="B36" s="69">
        <v>2838910</v>
      </c>
      <c r="D36" s="48"/>
    </row>
    <row r="37" spans="1:6" x14ac:dyDescent="0.7">
      <c r="A37" s="68" t="s">
        <v>86</v>
      </c>
      <c r="B37" s="69">
        <v>12863054</v>
      </c>
      <c r="D37" s="48"/>
    </row>
    <row r="38" spans="1:6" x14ac:dyDescent="0.7">
      <c r="A38" s="68" t="s">
        <v>87</v>
      </c>
      <c r="B38" s="69">
        <v>3368224</v>
      </c>
      <c r="D38" s="48"/>
    </row>
    <row r="39" spans="1:6" x14ac:dyDescent="0.7">
      <c r="A39" s="68" t="s">
        <v>88</v>
      </c>
      <c r="B39" s="69">
        <v>10695206</v>
      </c>
      <c r="D39" s="48"/>
    </row>
    <row r="40" spans="1:6" x14ac:dyDescent="0.7">
      <c r="A40" s="68" t="s">
        <v>89</v>
      </c>
      <c r="B40" s="69">
        <v>27167510</v>
      </c>
      <c r="D40" s="48"/>
    </row>
    <row r="41" spans="1:6" x14ac:dyDescent="0.7">
      <c r="A41" s="68" t="s">
        <v>90</v>
      </c>
      <c r="B41" s="69">
        <v>3087232</v>
      </c>
      <c r="D41" s="48"/>
    </row>
    <row r="42" spans="1:6" x14ac:dyDescent="0.7">
      <c r="A42" s="68" t="s">
        <v>91</v>
      </c>
      <c r="B42" s="69">
        <v>14259678</v>
      </c>
      <c r="D42" s="48"/>
    </row>
    <row r="43" spans="1:6" x14ac:dyDescent="0.7">
      <c r="A43" s="70" t="s">
        <v>94</v>
      </c>
      <c r="B43" s="71">
        <f>SUM(B32:B42)</f>
        <v>130354829.5</v>
      </c>
      <c r="D43" s="48"/>
    </row>
    <row r="44" spans="1:6" ht="33" customHeight="1" x14ac:dyDescent="0.7">
      <c r="A44" s="53"/>
      <c r="B44" s="54"/>
      <c r="D44" s="48"/>
    </row>
    <row r="45" spans="1:6" ht="26.4" customHeight="1" x14ac:dyDescent="0.7">
      <c r="A45" s="48" t="s">
        <v>99</v>
      </c>
      <c r="B45" s="61">
        <v>130000000</v>
      </c>
      <c r="C45" s="48" t="s">
        <v>33</v>
      </c>
      <c r="D45" s="48"/>
      <c r="F45" s="64"/>
    </row>
    <row r="46" spans="1:6" ht="26.4" customHeight="1" x14ac:dyDescent="0.7">
      <c r="A46" s="48" t="s">
        <v>39</v>
      </c>
      <c r="B46" s="61">
        <v>20000000</v>
      </c>
      <c r="C46" s="48" t="s">
        <v>33</v>
      </c>
      <c r="D46" s="48"/>
      <c r="F46" s="64"/>
    </row>
    <row r="47" spans="1:6" ht="22.75" customHeight="1" x14ac:dyDescent="0.7">
      <c r="A47" s="48" t="s">
        <v>57</v>
      </c>
      <c r="B47" s="61">
        <v>300000</v>
      </c>
      <c r="C47" s="48" t="s">
        <v>45</v>
      </c>
      <c r="D47" s="48"/>
      <c r="F47" s="64"/>
    </row>
    <row r="48" spans="1:6" ht="21" customHeight="1" x14ac:dyDescent="0.7">
      <c r="A48" s="48" t="s">
        <v>48</v>
      </c>
      <c r="B48" s="72">
        <v>0.01</v>
      </c>
      <c r="C48" s="48" t="s">
        <v>47</v>
      </c>
      <c r="D48" s="48"/>
      <c r="F48" s="64"/>
    </row>
    <row r="49" spans="1:23" x14ac:dyDescent="0.7">
      <c r="A49" s="61" t="s">
        <v>49</v>
      </c>
      <c r="B49" s="72">
        <v>0.3</v>
      </c>
      <c r="C49" s="48" t="s">
        <v>50</v>
      </c>
      <c r="D49" s="48"/>
      <c r="F49" s="64"/>
    </row>
    <row r="50" spans="1:23" x14ac:dyDescent="0.7">
      <c r="A50" s="61"/>
      <c r="B50" s="72"/>
      <c r="C50" s="48"/>
      <c r="D50" s="48"/>
      <c r="F50" s="64"/>
    </row>
    <row r="52" spans="1:23" s="73" customFormat="1" x14ac:dyDescent="0.7">
      <c r="A52" s="73" t="s">
        <v>3</v>
      </c>
      <c r="B52" s="73" t="s">
        <v>4</v>
      </c>
      <c r="C52" s="73" t="s">
        <v>5</v>
      </c>
      <c r="D52" s="73" t="s">
        <v>6</v>
      </c>
      <c r="E52" s="73" t="s">
        <v>7</v>
      </c>
      <c r="F52" s="73" t="s">
        <v>8</v>
      </c>
      <c r="G52" s="73" t="s">
        <v>9</v>
      </c>
      <c r="H52" s="73" t="s">
        <v>10</v>
      </c>
      <c r="I52" s="73" t="s">
        <v>11</v>
      </c>
      <c r="J52" s="73" t="s">
        <v>12</v>
      </c>
      <c r="K52" s="73" t="s">
        <v>13</v>
      </c>
      <c r="L52" s="73" t="s">
        <v>14</v>
      </c>
      <c r="M52" s="73" t="s">
        <v>15</v>
      </c>
      <c r="N52" s="73" t="s">
        <v>16</v>
      </c>
      <c r="O52" s="73" t="s">
        <v>17</v>
      </c>
      <c r="P52" s="73" t="s">
        <v>18</v>
      </c>
      <c r="Q52" s="73" t="s">
        <v>19</v>
      </c>
      <c r="R52" s="73" t="s">
        <v>20</v>
      </c>
      <c r="S52" s="73" t="s">
        <v>21</v>
      </c>
      <c r="T52" s="73" t="s">
        <v>22</v>
      </c>
      <c r="U52" s="73" t="s">
        <v>23</v>
      </c>
      <c r="V52" s="73" t="s">
        <v>24</v>
      </c>
    </row>
    <row r="53" spans="1:23" x14ac:dyDescent="0.7">
      <c r="A53" s="100" t="s">
        <v>26</v>
      </c>
    </row>
    <row r="54" spans="1:23" x14ac:dyDescent="0.7">
      <c r="A54" s="74" t="s">
        <v>53</v>
      </c>
      <c r="B54" s="75">
        <v>0</v>
      </c>
      <c r="C54" s="75">
        <f>((($B$19*$B$22*$F$22)-((($B$19*$B$22*$F$22)*10%))+((($B$19*$B$24)*$F$24)+((($B$19*$B$22)*$F$24)*10%))))</f>
        <v>27814088.785</v>
      </c>
      <c r="D54" s="75">
        <f t="shared" ref="D54:V54" si="0">((($B$19*$B$22*$F$22)-((($B$19*$B$22*$F$22)*10%))+((($B$19*$B$24)*$F$24)+((($B$19*$B$22)*$F$24)*10%))))</f>
        <v>27814088.785</v>
      </c>
      <c r="E54" s="75">
        <f t="shared" si="0"/>
        <v>27814088.785</v>
      </c>
      <c r="F54" s="75">
        <f t="shared" si="0"/>
        <v>27814088.785</v>
      </c>
      <c r="G54" s="75">
        <f t="shared" si="0"/>
        <v>27814088.785</v>
      </c>
      <c r="H54" s="75">
        <f t="shared" si="0"/>
        <v>27814088.785</v>
      </c>
      <c r="I54" s="75">
        <f t="shared" si="0"/>
        <v>27814088.785</v>
      </c>
      <c r="J54" s="75">
        <f t="shared" si="0"/>
        <v>27814088.785</v>
      </c>
      <c r="K54" s="75">
        <f t="shared" si="0"/>
        <v>27814088.785</v>
      </c>
      <c r="L54" s="75">
        <f t="shared" si="0"/>
        <v>27814088.785</v>
      </c>
      <c r="M54" s="75">
        <f t="shared" si="0"/>
        <v>27814088.785</v>
      </c>
      <c r="N54" s="75">
        <f t="shared" si="0"/>
        <v>27814088.785</v>
      </c>
      <c r="O54" s="75">
        <f t="shared" si="0"/>
        <v>27814088.785</v>
      </c>
      <c r="P54" s="75">
        <f t="shared" si="0"/>
        <v>27814088.785</v>
      </c>
      <c r="Q54" s="75">
        <f t="shared" si="0"/>
        <v>27814088.785</v>
      </c>
      <c r="R54" s="75">
        <f t="shared" si="0"/>
        <v>27814088.785</v>
      </c>
      <c r="S54" s="75">
        <f t="shared" si="0"/>
        <v>27814088.785</v>
      </c>
      <c r="T54" s="75">
        <f t="shared" si="0"/>
        <v>27814088.785</v>
      </c>
      <c r="U54" s="75">
        <f t="shared" si="0"/>
        <v>27814088.785</v>
      </c>
      <c r="V54" s="75">
        <f t="shared" si="0"/>
        <v>27814088.785</v>
      </c>
      <c r="W54" s="76">
        <f>SUM(B54:V54)</f>
        <v>556281775.70000029</v>
      </c>
    </row>
    <row r="55" spans="1:23" s="73" customFormat="1" x14ac:dyDescent="0.7">
      <c r="A55" s="74" t="s">
        <v>29</v>
      </c>
      <c r="B55" s="75">
        <v>130000000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77">
        <v>0</v>
      </c>
      <c r="W55" s="76">
        <f t="shared" ref="W55:W57" si="1">SUM(B55:V55)</f>
        <v>130000000</v>
      </c>
    </row>
    <row r="56" spans="1:23" s="73" customFormat="1" ht="12.65" customHeight="1" x14ac:dyDescent="0.7">
      <c r="A56" s="74"/>
      <c r="B56" s="75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6"/>
    </row>
    <row r="57" spans="1:23" x14ac:dyDescent="0.7">
      <c r="A57" s="100" t="s">
        <v>25</v>
      </c>
      <c r="W57" s="76">
        <f t="shared" si="1"/>
        <v>0</v>
      </c>
    </row>
    <row r="58" spans="1:23" s="74" customFormat="1" x14ac:dyDescent="0.7">
      <c r="A58" s="74" t="s">
        <v>51</v>
      </c>
      <c r="B58" s="78">
        <f>B55</f>
        <v>130000000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6">
        <f>SUM(C58:V58)</f>
        <v>0</v>
      </c>
    </row>
    <row r="59" spans="1:23" s="74" customFormat="1" x14ac:dyDescent="0.7">
      <c r="A59" s="74" t="s">
        <v>102</v>
      </c>
      <c r="B59" s="78">
        <v>20000000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6">
        <f>SUM(B59:V59)</f>
        <v>20000000</v>
      </c>
    </row>
    <row r="60" spans="1:23" s="74" customFormat="1" x14ac:dyDescent="0.7">
      <c r="A60" s="74" t="s">
        <v>55</v>
      </c>
      <c r="B60" s="79">
        <v>0</v>
      </c>
      <c r="C60" s="80">
        <f>300000*12</f>
        <v>3600000</v>
      </c>
      <c r="D60" s="80">
        <f>C60*1.05</f>
        <v>3780000</v>
      </c>
      <c r="E60" s="80">
        <f t="shared" ref="E60:V60" si="2">D60*1.05</f>
        <v>3969000</v>
      </c>
      <c r="F60" s="80">
        <f t="shared" si="2"/>
        <v>4167450</v>
      </c>
      <c r="G60" s="80">
        <f t="shared" si="2"/>
        <v>4375822.5</v>
      </c>
      <c r="H60" s="80">
        <f t="shared" si="2"/>
        <v>4594613.625</v>
      </c>
      <c r="I60" s="80">
        <f t="shared" si="2"/>
        <v>4824344.3062500004</v>
      </c>
      <c r="J60" s="80">
        <f t="shared" si="2"/>
        <v>5065561.5215625009</v>
      </c>
      <c r="K60" s="80">
        <f t="shared" si="2"/>
        <v>5318839.5976406261</v>
      </c>
      <c r="L60" s="80">
        <f t="shared" si="2"/>
        <v>5584781.5775226578</v>
      </c>
      <c r="M60" s="80">
        <f t="shared" si="2"/>
        <v>5864020.6563987909</v>
      </c>
      <c r="N60" s="80">
        <f t="shared" si="2"/>
        <v>6157221.6892187307</v>
      </c>
      <c r="O60" s="80">
        <f t="shared" si="2"/>
        <v>6465082.7736796672</v>
      </c>
      <c r="P60" s="80">
        <f t="shared" si="2"/>
        <v>6788336.9123636512</v>
      </c>
      <c r="Q60" s="80">
        <f t="shared" si="2"/>
        <v>7127753.757981834</v>
      </c>
      <c r="R60" s="80">
        <f t="shared" si="2"/>
        <v>7484141.4458809262</v>
      </c>
      <c r="S60" s="80">
        <f t="shared" si="2"/>
        <v>7858348.5181749733</v>
      </c>
      <c r="T60" s="80">
        <f t="shared" si="2"/>
        <v>8251265.9440837223</v>
      </c>
      <c r="U60" s="80">
        <f t="shared" si="2"/>
        <v>8663829.2412879094</v>
      </c>
      <c r="V60" s="80">
        <f t="shared" si="2"/>
        <v>9097020.703352306</v>
      </c>
      <c r="W60" s="76">
        <f>SUM(C60:V60)</f>
        <v>119037434.77039829</v>
      </c>
    </row>
    <row r="61" spans="1:23" s="101" customFormat="1" ht="46" x14ac:dyDescent="0.7">
      <c r="A61" s="106" t="s">
        <v>103</v>
      </c>
      <c r="B61" s="102">
        <v>-130000000</v>
      </c>
      <c r="C61" s="78">
        <f>C54*0.8</f>
        <v>22251271.028000001</v>
      </c>
      <c r="D61" s="78">
        <f t="shared" ref="D61:G61" si="3">D54*0.8</f>
        <v>22251271.028000001</v>
      </c>
      <c r="E61" s="78">
        <f t="shared" si="3"/>
        <v>22251271.028000001</v>
      </c>
      <c r="F61" s="78">
        <f t="shared" si="3"/>
        <v>22251271.028000001</v>
      </c>
      <c r="G61" s="78">
        <f t="shared" si="3"/>
        <v>22251271.028000001</v>
      </c>
      <c r="H61" s="78">
        <f>(H54*0.8*11/12)+(H54*0.5*1/12)</f>
        <v>21555918.808375001</v>
      </c>
      <c r="I61" s="78">
        <f>I54*0.5</f>
        <v>13907044.3925</v>
      </c>
      <c r="J61" s="78">
        <f t="shared" ref="J61:V61" si="4">J54*0.5</f>
        <v>13907044.3925</v>
      </c>
      <c r="K61" s="78">
        <f t="shared" si="4"/>
        <v>13907044.3925</v>
      </c>
      <c r="L61" s="78">
        <f t="shared" si="4"/>
        <v>13907044.3925</v>
      </c>
      <c r="M61" s="78">
        <f t="shared" si="4"/>
        <v>13907044.3925</v>
      </c>
      <c r="N61" s="78">
        <f t="shared" si="4"/>
        <v>13907044.3925</v>
      </c>
      <c r="O61" s="78">
        <f t="shared" si="4"/>
        <v>13907044.3925</v>
      </c>
      <c r="P61" s="78">
        <f t="shared" si="4"/>
        <v>13907044.3925</v>
      </c>
      <c r="Q61" s="78">
        <f t="shared" si="4"/>
        <v>13907044.3925</v>
      </c>
      <c r="R61" s="78">
        <f t="shared" si="4"/>
        <v>13907044.3925</v>
      </c>
      <c r="S61" s="78">
        <f t="shared" si="4"/>
        <v>13907044.3925</v>
      </c>
      <c r="T61" s="78">
        <f t="shared" si="4"/>
        <v>13907044.3925</v>
      </c>
      <c r="U61" s="78">
        <f t="shared" si="4"/>
        <v>13907044.3925</v>
      </c>
      <c r="V61" s="78">
        <f t="shared" si="4"/>
        <v>13907044.3925</v>
      </c>
      <c r="W61" s="76">
        <f>SUM(B61:V61)</f>
        <v>197510895.44337505</v>
      </c>
    </row>
    <row r="62" spans="1:23" s="74" customFormat="1" x14ac:dyDescent="0.7">
      <c r="A62" s="74" t="s">
        <v>46</v>
      </c>
      <c r="B62" s="78">
        <v>0</v>
      </c>
      <c r="C62" s="77">
        <v>0</v>
      </c>
      <c r="D62" s="77">
        <v>0</v>
      </c>
      <c r="E62" s="81">
        <f>B55*1/100</f>
        <v>1300000</v>
      </c>
      <c r="F62" s="81">
        <f>E62*1.05</f>
        <v>1365000</v>
      </c>
      <c r="G62" s="81">
        <f t="shared" ref="G62:V62" si="5">F62*1.05</f>
        <v>1433250</v>
      </c>
      <c r="H62" s="81">
        <f t="shared" si="5"/>
        <v>1504912.5</v>
      </c>
      <c r="I62" s="81">
        <f t="shared" si="5"/>
        <v>1580158.125</v>
      </c>
      <c r="J62" s="81">
        <f t="shared" si="5"/>
        <v>1659166.03125</v>
      </c>
      <c r="K62" s="81">
        <f t="shared" si="5"/>
        <v>1742124.3328125002</v>
      </c>
      <c r="L62" s="81">
        <f t="shared" si="5"/>
        <v>1829230.5494531253</v>
      </c>
      <c r="M62" s="81">
        <f t="shared" si="5"/>
        <v>1920692.0769257818</v>
      </c>
      <c r="N62" s="81">
        <f t="shared" si="5"/>
        <v>2016726.680772071</v>
      </c>
      <c r="O62" s="81">
        <f t="shared" si="5"/>
        <v>2117563.0148106748</v>
      </c>
      <c r="P62" s="81">
        <f t="shared" si="5"/>
        <v>2223441.1655512089</v>
      </c>
      <c r="Q62" s="81">
        <f t="shared" si="5"/>
        <v>2334613.2238287693</v>
      </c>
      <c r="R62" s="81">
        <f t="shared" si="5"/>
        <v>2451343.8850202081</v>
      </c>
      <c r="S62" s="81">
        <f t="shared" si="5"/>
        <v>2573911.0792712187</v>
      </c>
      <c r="T62" s="81">
        <f t="shared" si="5"/>
        <v>2702606.6332347798</v>
      </c>
      <c r="U62" s="81">
        <f t="shared" si="5"/>
        <v>2837736.9648965187</v>
      </c>
      <c r="V62" s="81">
        <f t="shared" si="5"/>
        <v>2979623.8131413446</v>
      </c>
      <c r="W62" s="76">
        <f>SUM(C62:V62)</f>
        <v>36572100.075968206</v>
      </c>
    </row>
    <row r="63" spans="1:23" s="82" customFormat="1" x14ac:dyDescent="0.7">
      <c r="A63" s="82" t="s">
        <v>34</v>
      </c>
      <c r="B63" s="83"/>
      <c r="C63" s="83">
        <f>(C54-C60-C61)*0.3</f>
        <v>588845.32709999976</v>
      </c>
      <c r="D63" s="83">
        <f t="shared" ref="D63:V63" si="6">(D54-D60-D61)*0.3</f>
        <v>534845.32709999976</v>
      </c>
      <c r="E63" s="83">
        <f>(E54-E60-E61-E62)*0.3</f>
        <v>88145.327099999777</v>
      </c>
      <c r="F63" s="83">
        <f t="shared" si="6"/>
        <v>418610.32709999976</v>
      </c>
      <c r="G63" s="83">
        <f t="shared" si="6"/>
        <v>356098.57709999976</v>
      </c>
      <c r="H63" s="83">
        <f t="shared" si="6"/>
        <v>499066.90548749972</v>
      </c>
      <c r="I63" s="83">
        <f t="shared" si="6"/>
        <v>2724810.0258749994</v>
      </c>
      <c r="J63" s="83">
        <f t="shared" si="6"/>
        <v>2652444.8612812492</v>
      </c>
      <c r="K63" s="83">
        <f t="shared" si="6"/>
        <v>2576461.4384578122</v>
      </c>
      <c r="L63" s="83">
        <f t="shared" si="6"/>
        <v>2496678.8444932024</v>
      </c>
      <c r="M63" s="83">
        <f t="shared" si="6"/>
        <v>2412907.1208303622</v>
      </c>
      <c r="N63" s="83">
        <f t="shared" si="6"/>
        <v>2324946.810984381</v>
      </c>
      <c r="O63" s="83">
        <f t="shared" si="6"/>
        <v>2232588.4856461002</v>
      </c>
      <c r="P63" s="83">
        <f t="shared" si="6"/>
        <v>2135612.2440409041</v>
      </c>
      <c r="Q63" s="83">
        <f t="shared" si="6"/>
        <v>2033787.1903554499</v>
      </c>
      <c r="R63" s="83">
        <f t="shared" si="6"/>
        <v>1926870.8839857217</v>
      </c>
      <c r="S63" s="83">
        <f t="shared" si="6"/>
        <v>1814608.7622975083</v>
      </c>
      <c r="T63" s="83">
        <f t="shared" si="6"/>
        <v>1696733.5345248827</v>
      </c>
      <c r="U63" s="83">
        <f t="shared" si="6"/>
        <v>1572964.5453636271</v>
      </c>
      <c r="V63" s="83">
        <f t="shared" si="6"/>
        <v>1443007.1067443083</v>
      </c>
      <c r="W63" s="76">
        <f>SUM(C63:V63)</f>
        <v>32530033.645868007</v>
      </c>
    </row>
    <row r="64" spans="1:23" s="74" customFormat="1" x14ac:dyDescent="0.7">
      <c r="A64" s="84" t="s">
        <v>101</v>
      </c>
      <c r="B64" s="85">
        <f>-B59</f>
        <v>-20000000</v>
      </c>
      <c r="C64" s="86">
        <f>C54-C60-C61-C62-C63</f>
        <v>1373972.4298999994</v>
      </c>
      <c r="D64" s="86">
        <f t="shared" ref="D64:E64" si="7">D54-D60-D61-D62-D63</f>
        <v>1247972.4298999994</v>
      </c>
      <c r="E64" s="86">
        <f t="shared" si="7"/>
        <v>205672.42989999952</v>
      </c>
      <c r="F64" s="86">
        <f>F54-F60-F61-F62-F63</f>
        <v>-388242.57010000048</v>
      </c>
      <c r="G64" s="86">
        <f t="shared" ref="G64" si="8">G54-G60-G61-G62-G63</f>
        <v>-602353.32010000048</v>
      </c>
      <c r="H64" s="86">
        <f t="shared" ref="H64" si="9">H54-H60-H61-H62-H63</f>
        <v>-340423.05386250053</v>
      </c>
      <c r="I64" s="86">
        <f t="shared" ref="I64" si="10">I54-I60-I61-I62-I63</f>
        <v>4777731.9353749985</v>
      </c>
      <c r="J64" s="86">
        <f t="shared" ref="J64" si="11">J54-J60-J61-J62-J63</f>
        <v>4529871.9784062486</v>
      </c>
      <c r="K64" s="86">
        <f t="shared" ref="K64" si="12">K54-K60-K61-K62-K63</f>
        <v>4269619.0235890616</v>
      </c>
      <c r="L64" s="86">
        <f t="shared" ref="L64" si="13">L54-L60-L61-L62-L63</f>
        <v>3996353.4210310145</v>
      </c>
      <c r="M64" s="86">
        <f t="shared" ref="M64" si="14">M54-M60-M61-M62-M63</f>
        <v>3709424.5383450645</v>
      </c>
      <c r="N64" s="86">
        <f t="shared" ref="N64" si="15">N54-N60-N61-N62-N63</f>
        <v>3408149.2115248186</v>
      </c>
      <c r="O64" s="86">
        <f t="shared" ref="O64" si="16">O54-O60-O61-O62-O63</f>
        <v>3091810.1183635588</v>
      </c>
      <c r="P64" s="86">
        <f>P54-P60-P61-P62-P63</f>
        <v>2759654.0705442349</v>
      </c>
      <c r="Q64" s="86">
        <f t="shared" ref="Q64" si="17">Q54-Q60-Q61-Q62-Q63</f>
        <v>2410890.2203339478</v>
      </c>
      <c r="R64" s="86">
        <f t="shared" ref="R64" si="18">R54-R60-R61-R62-R63</f>
        <v>2044688.1776131431</v>
      </c>
      <c r="S64" s="86">
        <f t="shared" ref="S64" si="19">S54-S60-S61-S62-S63</f>
        <v>1660176.0327563006</v>
      </c>
      <c r="T64" s="86">
        <f t="shared" ref="T64" si="20">T54-T60-T61-T62-T63</f>
        <v>1256438.2806566134</v>
      </c>
      <c r="U64" s="86">
        <f t="shared" ref="U64" si="21">U54-U60-U61-U62-U63</f>
        <v>832513.64095194475</v>
      </c>
      <c r="V64" s="86">
        <f t="shared" ref="V64" si="22">V54-V60-V61-V62-V63</f>
        <v>387392.7692620412</v>
      </c>
      <c r="W64" s="76">
        <f>SUM(C64:V64)</f>
        <v>40631311.764390491</v>
      </c>
    </row>
    <row r="65" spans="1:22" s="87" customFormat="1" x14ac:dyDescent="0.7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</row>
    <row r="66" spans="1:22" s="87" customFormat="1" x14ac:dyDescent="0.7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</row>
    <row r="67" spans="1:22" s="87" customFormat="1" x14ac:dyDescent="0.7"/>
    <row r="68" spans="1:22" s="91" customFormat="1" x14ac:dyDescent="0.7">
      <c r="A68" s="89" t="s">
        <v>56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</row>
    <row r="69" spans="1:22" x14ac:dyDescent="0.7">
      <c r="A69" s="92" t="s">
        <v>35</v>
      </c>
      <c r="B69" s="93">
        <f>NPV(0.05,B61:V61)</f>
        <v>81091766.544091046</v>
      </c>
      <c r="C69" s="94"/>
    </row>
    <row r="70" spans="1:22" x14ac:dyDescent="0.7">
      <c r="A70" s="92" t="s">
        <v>27</v>
      </c>
      <c r="B70" s="95">
        <f>IRR(B61:V61,0.05)</f>
        <v>0.13106087089628171</v>
      </c>
    </row>
    <row r="71" spans="1:22" x14ac:dyDescent="0.7">
      <c r="A71" s="92" t="s">
        <v>31</v>
      </c>
      <c r="B71" s="96">
        <v>5.92</v>
      </c>
      <c r="C71" s="97"/>
      <c r="E71" s="47" t="s">
        <v>32</v>
      </c>
    </row>
    <row r="72" spans="1:22" x14ac:dyDescent="0.7">
      <c r="A72" s="89"/>
      <c r="B72" s="47" t="s">
        <v>32</v>
      </c>
    </row>
    <row r="73" spans="1:22" s="87" customFormat="1" x14ac:dyDescent="0.7">
      <c r="C73" s="98"/>
    </row>
    <row r="74" spans="1:22" s="91" customFormat="1" x14ac:dyDescent="0.7">
      <c r="B74" s="90"/>
      <c r="C74" s="99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</row>
    <row r="75" spans="1:22" s="91" customFormat="1" x14ac:dyDescent="0.7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</row>
    <row r="76" spans="1:22" s="91" customFormat="1" x14ac:dyDescent="0.7">
      <c r="A76" s="89" t="s">
        <v>54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</row>
    <row r="77" spans="1:22" x14ac:dyDescent="0.7">
      <c r="A77" s="92" t="s">
        <v>35</v>
      </c>
      <c r="B77" s="93">
        <f>NPV(0.05,B64:V64)</f>
        <v>3960157.9954385022</v>
      </c>
      <c r="C77" s="94"/>
    </row>
    <row r="78" spans="1:22" x14ac:dyDescent="0.7">
      <c r="A78" s="92" t="s">
        <v>27</v>
      </c>
      <c r="B78" s="95">
        <f>IRR(B64:V64,0.05)</f>
        <v>6.9881329737021103E-2</v>
      </c>
    </row>
    <row r="79" spans="1:22" x14ac:dyDescent="0.7">
      <c r="A79" s="92" t="s">
        <v>31</v>
      </c>
      <c r="B79" s="96"/>
      <c r="C79" s="97"/>
      <c r="D79" s="47" t="s">
        <v>32</v>
      </c>
      <c r="E79" s="47" t="s">
        <v>32</v>
      </c>
    </row>
    <row r="80" spans="1:22" x14ac:dyDescent="0.7">
      <c r="A80" s="89" t="s">
        <v>28</v>
      </c>
    </row>
  </sheetData>
  <pageMargins left="0.25" right="0.25" top="0.75" bottom="0.75" header="0.3" footer="0.3"/>
  <pageSetup paperSize="9" scale="3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8"/>
  <sheetViews>
    <sheetView topLeftCell="A30" zoomScale="99" zoomScaleNormal="99" workbookViewId="0">
      <selection activeCell="C32" sqref="C32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999.8*5</f>
        <v>4999</v>
      </c>
      <c r="C4" s="1" t="s">
        <v>77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76</v>
      </c>
      <c r="B13" s="3">
        <v>27167510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5561705.1934486004</v>
      </c>
      <c r="D23" s="6">
        <f t="shared" ref="D23:V23" si="0">((($B$4*$B$7*$F$7)-((($B$4*$B$7*$F$7)*10%))+((($B$4*$B$9)*$F$9)+((($B$4*$B$7)*$F$9)*10%))))</f>
        <v>5561705.1934486004</v>
      </c>
      <c r="E23" s="6">
        <f t="shared" si="0"/>
        <v>5561705.1934486004</v>
      </c>
      <c r="F23" s="6">
        <f t="shared" si="0"/>
        <v>5561705.1934486004</v>
      </c>
      <c r="G23" s="6">
        <f t="shared" si="0"/>
        <v>5561705.1934486004</v>
      </c>
      <c r="H23" s="6">
        <f t="shared" si="0"/>
        <v>5561705.1934486004</v>
      </c>
      <c r="I23" s="6">
        <f t="shared" si="0"/>
        <v>5561705.1934486004</v>
      </c>
      <c r="J23" s="6">
        <f t="shared" si="0"/>
        <v>5561705.1934486004</v>
      </c>
      <c r="K23" s="6">
        <f t="shared" si="0"/>
        <v>5561705.1934486004</v>
      </c>
      <c r="L23" s="6">
        <f t="shared" si="0"/>
        <v>5561705.1934486004</v>
      </c>
      <c r="M23" s="6">
        <f t="shared" si="0"/>
        <v>5561705.1934486004</v>
      </c>
      <c r="N23" s="6">
        <f t="shared" si="0"/>
        <v>5561705.1934486004</v>
      </c>
      <c r="O23" s="6">
        <f t="shared" si="0"/>
        <v>5561705.1934486004</v>
      </c>
      <c r="P23" s="6">
        <f t="shared" si="0"/>
        <v>5561705.1934486004</v>
      </c>
      <c r="Q23" s="6">
        <f t="shared" si="0"/>
        <v>5561705.1934486004</v>
      </c>
      <c r="R23" s="6">
        <f t="shared" si="0"/>
        <v>5561705.1934486004</v>
      </c>
      <c r="S23" s="6">
        <f t="shared" si="0"/>
        <v>5561705.1934486004</v>
      </c>
      <c r="T23" s="6">
        <f t="shared" si="0"/>
        <v>5561705.1934486004</v>
      </c>
      <c r="U23" s="6">
        <f t="shared" si="0"/>
        <v>5561705.1934486004</v>
      </c>
      <c r="V23" s="6">
        <f t="shared" si="0"/>
        <v>5561705.1934486004</v>
      </c>
      <c r="W23" s="9">
        <f>SUM(B23:V23)</f>
        <v>111234103.86897203</v>
      </c>
    </row>
    <row r="24" spans="1:23" s="4" customFormat="1" x14ac:dyDescent="0.35">
      <c r="A24" s="5" t="s">
        <v>29</v>
      </c>
      <c r="B24" s="6">
        <f>B13</f>
        <v>27167510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27167510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27167510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-27167510</v>
      </c>
      <c r="C29" s="33">
        <f>C23*0.8</f>
        <v>4449364.1547588808</v>
      </c>
      <c r="D29" s="33">
        <f t="shared" ref="D29:G29" si="3">D23*0.8</f>
        <v>4449364.1547588808</v>
      </c>
      <c r="E29" s="33">
        <f t="shared" si="3"/>
        <v>4449364.1547588808</v>
      </c>
      <c r="F29" s="33">
        <f t="shared" si="3"/>
        <v>4449364.1547588808</v>
      </c>
      <c r="G29" s="33">
        <f t="shared" si="3"/>
        <v>4449364.1547588808</v>
      </c>
      <c r="H29" s="33">
        <f>(H23*0.8*11/12)+(H23*0.5*1/12)</f>
        <v>4310321.5249226661</v>
      </c>
      <c r="I29" s="33">
        <f>I23*0.5</f>
        <v>2780852.5967243002</v>
      </c>
      <c r="J29" s="33">
        <f t="shared" ref="J29:V29" si="4">J23*0.5</f>
        <v>2780852.5967243002</v>
      </c>
      <c r="K29" s="33">
        <f t="shared" si="4"/>
        <v>2780852.5967243002</v>
      </c>
      <c r="L29" s="33">
        <f t="shared" si="4"/>
        <v>2780852.5967243002</v>
      </c>
      <c r="M29" s="33">
        <f t="shared" si="4"/>
        <v>2780852.5967243002</v>
      </c>
      <c r="N29" s="33">
        <f t="shared" si="4"/>
        <v>2780852.5967243002</v>
      </c>
      <c r="O29" s="33">
        <f t="shared" si="4"/>
        <v>2780852.5967243002</v>
      </c>
      <c r="P29" s="33">
        <f t="shared" si="4"/>
        <v>2780852.5967243002</v>
      </c>
      <c r="Q29" s="33">
        <f t="shared" si="4"/>
        <v>2780852.5967243002</v>
      </c>
      <c r="R29" s="33">
        <f t="shared" si="4"/>
        <v>2780852.5967243002</v>
      </c>
      <c r="S29" s="33">
        <f t="shared" si="4"/>
        <v>2780852.5967243002</v>
      </c>
      <c r="T29" s="33">
        <f t="shared" si="4"/>
        <v>2780852.5967243002</v>
      </c>
      <c r="U29" s="33">
        <f t="shared" si="4"/>
        <v>2780852.5967243002</v>
      </c>
      <c r="V29" s="33">
        <f t="shared" si="4"/>
        <v>2780852.5967243002</v>
      </c>
      <c r="W29" s="34">
        <f>SUM(B29:V29)</f>
        <v>38321568.652857281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271675.09999999998</v>
      </c>
      <c r="F30" s="43">
        <f>E30*1.05</f>
        <v>285258.85499999998</v>
      </c>
      <c r="G30" s="43">
        <f t="shared" ref="G30:V30" si="5">F30*1.05</f>
        <v>299521.79774999997</v>
      </c>
      <c r="H30" s="43">
        <f t="shared" si="5"/>
        <v>314497.88763749995</v>
      </c>
      <c r="I30" s="43">
        <f t="shared" si="5"/>
        <v>330222.78201937495</v>
      </c>
      <c r="J30" s="43">
        <f t="shared" si="5"/>
        <v>346733.92112034373</v>
      </c>
      <c r="K30" s="43">
        <f t="shared" si="5"/>
        <v>364070.61717636092</v>
      </c>
      <c r="L30" s="43">
        <f t="shared" si="5"/>
        <v>382274.14803517895</v>
      </c>
      <c r="M30" s="43">
        <f t="shared" si="5"/>
        <v>401387.85543693794</v>
      </c>
      <c r="N30" s="43">
        <f t="shared" si="5"/>
        <v>421457.24820878485</v>
      </c>
      <c r="O30" s="43">
        <f t="shared" si="5"/>
        <v>442530.11061922408</v>
      </c>
      <c r="P30" s="43">
        <f t="shared" si="5"/>
        <v>464656.61615018529</v>
      </c>
      <c r="Q30" s="43">
        <f t="shared" si="5"/>
        <v>487889.4469576946</v>
      </c>
      <c r="R30" s="43">
        <f t="shared" si="5"/>
        <v>512283.91930557933</v>
      </c>
      <c r="S30" s="43">
        <f t="shared" si="5"/>
        <v>537898.11527085828</v>
      </c>
      <c r="T30" s="43">
        <f t="shared" si="5"/>
        <v>564793.02103440126</v>
      </c>
      <c r="U30" s="43">
        <f t="shared" si="5"/>
        <v>593032.6720861214</v>
      </c>
      <c r="V30" s="43">
        <f t="shared" si="5"/>
        <v>622684.30569042754</v>
      </c>
      <c r="W30" s="9">
        <f>SUM(C30:V30)</f>
        <v>7642868.4194989735</v>
      </c>
    </row>
    <row r="31" spans="1:23" s="29" customFormat="1" x14ac:dyDescent="0.35">
      <c r="A31" s="29" t="s">
        <v>34</v>
      </c>
      <c r="B31" s="30"/>
      <c r="C31" s="30">
        <f>(C23-C28-C29)*0.3</f>
        <v>333702.31160691584</v>
      </c>
      <c r="D31" s="30">
        <f t="shared" ref="D31:V31" si="6">(D23-D28-D29)*0.3</f>
        <v>333702.31160691584</v>
      </c>
      <c r="E31" s="30">
        <f>(E23-E28-E29-E30)*0.3</f>
        <v>252199.78160691584</v>
      </c>
      <c r="F31" s="30">
        <f t="shared" si="6"/>
        <v>333702.31160691584</v>
      </c>
      <c r="G31" s="30">
        <f t="shared" si="6"/>
        <v>333702.31160691584</v>
      </c>
      <c r="H31" s="30">
        <f t="shared" si="6"/>
        <v>375415.10055778024</v>
      </c>
      <c r="I31" s="30">
        <f t="shared" si="6"/>
        <v>834255.77901728998</v>
      </c>
      <c r="J31" s="30">
        <f t="shared" si="6"/>
        <v>834255.77901728998</v>
      </c>
      <c r="K31" s="30">
        <f t="shared" si="6"/>
        <v>834255.77901728998</v>
      </c>
      <c r="L31" s="30">
        <f t="shared" si="6"/>
        <v>834255.77901728998</v>
      </c>
      <c r="M31" s="30">
        <f t="shared" si="6"/>
        <v>834255.77901728998</v>
      </c>
      <c r="N31" s="30">
        <f t="shared" si="6"/>
        <v>834255.77901728998</v>
      </c>
      <c r="O31" s="30">
        <f t="shared" si="6"/>
        <v>834255.77901728998</v>
      </c>
      <c r="P31" s="30">
        <f t="shared" si="6"/>
        <v>834255.77901728998</v>
      </c>
      <c r="Q31" s="30">
        <f t="shared" si="6"/>
        <v>834255.77901728998</v>
      </c>
      <c r="R31" s="30">
        <f t="shared" si="6"/>
        <v>834255.77901728998</v>
      </c>
      <c r="S31" s="30">
        <f t="shared" si="6"/>
        <v>834255.77901728998</v>
      </c>
      <c r="T31" s="30">
        <f t="shared" si="6"/>
        <v>834255.77901728998</v>
      </c>
      <c r="U31" s="30">
        <f t="shared" si="6"/>
        <v>834255.77901728998</v>
      </c>
      <c r="V31" s="30">
        <f t="shared" si="6"/>
        <v>834255.77901728998</v>
      </c>
      <c r="W31" s="9">
        <f>SUM(C31:V31)</f>
        <v>13642005.03483442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778638.72708280361</v>
      </c>
      <c r="D32" s="26">
        <f t="shared" ref="D32:E32" si="7">D23-D28-D29-D30-D31</f>
        <v>778638.72708280361</v>
      </c>
      <c r="E32" s="26">
        <f t="shared" si="7"/>
        <v>588466.15708280366</v>
      </c>
      <c r="F32" s="26">
        <f>F23-F28-F29-F30-F31</f>
        <v>493379.87208280369</v>
      </c>
      <c r="G32" s="26">
        <f t="shared" ref="G32:O32" si="8">G23-G28-G29-G30-G31</f>
        <v>479116.92933280376</v>
      </c>
      <c r="H32" s="26">
        <f t="shared" si="8"/>
        <v>561470.68033065402</v>
      </c>
      <c r="I32" s="26">
        <f t="shared" si="8"/>
        <v>1616374.0356876352</v>
      </c>
      <c r="J32" s="26">
        <f t="shared" si="8"/>
        <v>1599862.8965866663</v>
      </c>
      <c r="K32" s="26">
        <f t="shared" si="8"/>
        <v>1582526.2005306492</v>
      </c>
      <c r="L32" s="26">
        <f t="shared" si="8"/>
        <v>1564322.6696718312</v>
      </c>
      <c r="M32" s="26">
        <f t="shared" si="8"/>
        <v>1545208.9622700722</v>
      </c>
      <c r="N32" s="26">
        <f t="shared" si="8"/>
        <v>1525139.5694982251</v>
      </c>
      <c r="O32" s="26">
        <f t="shared" si="8"/>
        <v>1504066.7070877859</v>
      </c>
      <c r="P32" s="26">
        <f>P23-P28-P29-P30-P31</f>
        <v>1481940.2015568246</v>
      </c>
      <c r="Q32" s="26">
        <f t="shared" ref="Q32:V32" si="9">Q23-Q28-Q29-Q30-Q31</f>
        <v>1458707.3707493152</v>
      </c>
      <c r="R32" s="26">
        <f t="shared" si="9"/>
        <v>1434312.8984014308</v>
      </c>
      <c r="S32" s="26">
        <f t="shared" si="9"/>
        <v>1408698.7024361519</v>
      </c>
      <c r="T32" s="26">
        <f t="shared" si="9"/>
        <v>1381803.7966726087</v>
      </c>
      <c r="U32" s="26">
        <f t="shared" si="9"/>
        <v>1353564.1456208886</v>
      </c>
      <c r="V32" s="26">
        <f t="shared" si="9"/>
        <v>1323912.5120165823</v>
      </c>
      <c r="W32" s="9">
        <f>SUM(C32:V32)</f>
        <v>24460151.761781346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15098242.971489783</v>
      </c>
      <c r="C37" s="18"/>
    </row>
    <row r="38" spans="1:22" x14ac:dyDescent="0.35">
      <c r="A38" s="11" t="s">
        <v>27</v>
      </c>
      <c r="B38" s="13">
        <f>IRR(B29:V29,0.05)</f>
        <v>0.12267015270501913</v>
      </c>
    </row>
    <row r="39" spans="1:22" x14ac:dyDescent="0.35">
      <c r="A39" s="11" t="s">
        <v>31</v>
      </c>
      <c r="B39" s="20">
        <v>5.92</v>
      </c>
      <c r="C39" s="19"/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13570895.587757621</v>
      </c>
      <c r="C45" s="18"/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8"/>
  <sheetViews>
    <sheetView topLeftCell="A21" zoomScale="99" zoomScaleNormal="99" workbookViewId="0">
      <selection activeCell="C32" sqref="C32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149.04*5</f>
        <v>745.19999999999993</v>
      </c>
      <c r="C4" s="1" t="s">
        <v>79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78</v>
      </c>
      <c r="B13" s="3">
        <v>3087232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829082.35850327997</v>
      </c>
      <c r="D23" s="6">
        <f t="shared" ref="D23:V23" si="0">((($B$4*$B$7*$F$7)-((($B$4*$B$7*$F$7)*10%))+((($B$4*$B$9)*$F$9)+((($B$4*$B$7)*$F$9)*10%))))</f>
        <v>829082.35850327997</v>
      </c>
      <c r="E23" s="6">
        <f t="shared" si="0"/>
        <v>829082.35850327997</v>
      </c>
      <c r="F23" s="6">
        <f t="shared" si="0"/>
        <v>829082.35850327997</v>
      </c>
      <c r="G23" s="6">
        <f t="shared" si="0"/>
        <v>829082.35850327997</v>
      </c>
      <c r="H23" s="6">
        <f t="shared" si="0"/>
        <v>829082.35850327997</v>
      </c>
      <c r="I23" s="6">
        <f t="shared" si="0"/>
        <v>829082.35850327997</v>
      </c>
      <c r="J23" s="6">
        <f t="shared" si="0"/>
        <v>829082.35850327997</v>
      </c>
      <c r="K23" s="6">
        <f t="shared" si="0"/>
        <v>829082.35850327997</v>
      </c>
      <c r="L23" s="6">
        <f t="shared" si="0"/>
        <v>829082.35850327997</v>
      </c>
      <c r="M23" s="6">
        <f t="shared" si="0"/>
        <v>829082.35850327997</v>
      </c>
      <c r="N23" s="6">
        <f t="shared" si="0"/>
        <v>829082.35850327997</v>
      </c>
      <c r="O23" s="6">
        <f t="shared" si="0"/>
        <v>829082.35850327997</v>
      </c>
      <c r="P23" s="6">
        <f t="shared" si="0"/>
        <v>829082.35850327997</v>
      </c>
      <c r="Q23" s="6">
        <f t="shared" si="0"/>
        <v>829082.35850327997</v>
      </c>
      <c r="R23" s="6">
        <f t="shared" si="0"/>
        <v>829082.35850327997</v>
      </c>
      <c r="S23" s="6">
        <f t="shared" si="0"/>
        <v>829082.35850327997</v>
      </c>
      <c r="T23" s="6">
        <f t="shared" si="0"/>
        <v>829082.35850327997</v>
      </c>
      <c r="U23" s="6">
        <f t="shared" si="0"/>
        <v>829082.35850327997</v>
      </c>
      <c r="V23" s="6">
        <f t="shared" si="0"/>
        <v>829082.35850327997</v>
      </c>
      <c r="W23" s="9">
        <f>SUM(B23:V23)</f>
        <v>16581647.170065602</v>
      </c>
    </row>
    <row r="24" spans="1:23" s="4" customFormat="1" x14ac:dyDescent="0.35">
      <c r="A24" s="5" t="s">
        <v>29</v>
      </c>
      <c r="B24" s="6">
        <f>B13</f>
        <v>3087232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3087232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3087232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-3087232</v>
      </c>
      <c r="C29" s="33">
        <f>C23*0.8</f>
        <v>663265.88680262398</v>
      </c>
      <c r="D29" s="33">
        <f t="shared" ref="D29:G29" si="3">D23*0.8</f>
        <v>663265.88680262398</v>
      </c>
      <c r="E29" s="33">
        <f t="shared" si="3"/>
        <v>663265.88680262398</v>
      </c>
      <c r="F29" s="33">
        <f t="shared" si="3"/>
        <v>663265.88680262398</v>
      </c>
      <c r="G29" s="33">
        <f t="shared" si="3"/>
        <v>663265.88680262398</v>
      </c>
      <c r="H29" s="33">
        <f>(H23*0.8*11/12)+(H23*0.5*1/12)</f>
        <v>642538.82784004207</v>
      </c>
      <c r="I29" s="33">
        <f>I23*0.5</f>
        <v>414541.17925163999</v>
      </c>
      <c r="J29" s="33">
        <f t="shared" ref="J29:V29" si="4">J23*0.5</f>
        <v>414541.17925163999</v>
      </c>
      <c r="K29" s="33">
        <f t="shared" si="4"/>
        <v>414541.17925163999</v>
      </c>
      <c r="L29" s="33">
        <f t="shared" si="4"/>
        <v>414541.17925163999</v>
      </c>
      <c r="M29" s="33">
        <f t="shared" si="4"/>
        <v>414541.17925163999</v>
      </c>
      <c r="N29" s="33">
        <f t="shared" si="4"/>
        <v>414541.17925163999</v>
      </c>
      <c r="O29" s="33">
        <f t="shared" si="4"/>
        <v>414541.17925163999</v>
      </c>
      <c r="P29" s="33">
        <f t="shared" si="4"/>
        <v>414541.17925163999</v>
      </c>
      <c r="Q29" s="33">
        <f t="shared" si="4"/>
        <v>414541.17925163999</v>
      </c>
      <c r="R29" s="33">
        <f t="shared" si="4"/>
        <v>414541.17925163999</v>
      </c>
      <c r="S29" s="33">
        <f t="shared" si="4"/>
        <v>414541.17925163999</v>
      </c>
      <c r="T29" s="33">
        <f t="shared" si="4"/>
        <v>414541.17925163999</v>
      </c>
      <c r="U29" s="33">
        <f t="shared" si="4"/>
        <v>414541.17925163999</v>
      </c>
      <c r="V29" s="33">
        <f t="shared" si="4"/>
        <v>414541.17925163999</v>
      </c>
      <c r="W29" s="34">
        <f>SUM(B29:V29)</f>
        <v>6675212.7713761227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30872.32</v>
      </c>
      <c r="F30" s="43">
        <f>E30*1.05</f>
        <v>32415.936000000002</v>
      </c>
      <c r="G30" s="43">
        <f t="shared" ref="G30:V30" si="5">F30*1.05</f>
        <v>34036.732800000005</v>
      </c>
      <c r="H30" s="43">
        <f t="shared" si="5"/>
        <v>35738.569440000007</v>
      </c>
      <c r="I30" s="43">
        <f t="shared" si="5"/>
        <v>37525.497912000006</v>
      </c>
      <c r="J30" s="43">
        <f t="shared" si="5"/>
        <v>39401.772807600006</v>
      </c>
      <c r="K30" s="43">
        <f t="shared" si="5"/>
        <v>41371.861447980009</v>
      </c>
      <c r="L30" s="43">
        <f t="shared" si="5"/>
        <v>43440.454520379011</v>
      </c>
      <c r="M30" s="43">
        <f t="shared" si="5"/>
        <v>45612.477246397961</v>
      </c>
      <c r="N30" s="43">
        <f t="shared" si="5"/>
        <v>47893.101108717863</v>
      </c>
      <c r="O30" s="43">
        <f t="shared" si="5"/>
        <v>50287.756164153761</v>
      </c>
      <c r="P30" s="43">
        <f t="shared" si="5"/>
        <v>52802.143972361453</v>
      </c>
      <c r="Q30" s="43">
        <f t="shared" si="5"/>
        <v>55442.251170979529</v>
      </c>
      <c r="R30" s="43">
        <f t="shared" si="5"/>
        <v>58214.363729528508</v>
      </c>
      <c r="S30" s="43">
        <f t="shared" si="5"/>
        <v>61125.081916004936</v>
      </c>
      <c r="T30" s="43">
        <f t="shared" si="5"/>
        <v>64181.336011805186</v>
      </c>
      <c r="U30" s="43">
        <f t="shared" si="5"/>
        <v>67390.402812395449</v>
      </c>
      <c r="V30" s="43">
        <f t="shared" si="5"/>
        <v>70759.922953015222</v>
      </c>
      <c r="W30" s="9">
        <f>SUM(C30:V30)</f>
        <v>868511.98201331892</v>
      </c>
    </row>
    <row r="31" spans="1:23" s="29" customFormat="1" x14ac:dyDescent="0.35">
      <c r="A31" s="29" t="s">
        <v>34</v>
      </c>
      <c r="B31" s="30"/>
      <c r="C31" s="30">
        <f>(C23-C28-C29)*0.3</f>
        <v>49744.941510196797</v>
      </c>
      <c r="D31" s="30">
        <f t="shared" ref="D31:V31" si="6">(D23-D28-D29)*0.3</f>
        <v>49744.941510196797</v>
      </c>
      <c r="E31" s="30">
        <f>(E23-E28-E29-E30)*0.3</f>
        <v>40483.245510196793</v>
      </c>
      <c r="F31" s="30">
        <f t="shared" si="6"/>
        <v>49744.941510196797</v>
      </c>
      <c r="G31" s="30">
        <f t="shared" si="6"/>
        <v>49744.941510196797</v>
      </c>
      <c r="H31" s="30">
        <f t="shared" si="6"/>
        <v>55963.059198971372</v>
      </c>
      <c r="I31" s="30">
        <f t="shared" si="6"/>
        <v>124362.353775492</v>
      </c>
      <c r="J31" s="30">
        <f t="shared" si="6"/>
        <v>124362.353775492</v>
      </c>
      <c r="K31" s="30">
        <f t="shared" si="6"/>
        <v>124362.353775492</v>
      </c>
      <c r="L31" s="30">
        <f t="shared" si="6"/>
        <v>124362.353775492</v>
      </c>
      <c r="M31" s="30">
        <f t="shared" si="6"/>
        <v>124362.353775492</v>
      </c>
      <c r="N31" s="30">
        <f t="shared" si="6"/>
        <v>124362.353775492</v>
      </c>
      <c r="O31" s="30">
        <f t="shared" si="6"/>
        <v>124362.353775492</v>
      </c>
      <c r="P31" s="30">
        <f t="shared" si="6"/>
        <v>124362.353775492</v>
      </c>
      <c r="Q31" s="30">
        <f t="shared" si="6"/>
        <v>124362.353775492</v>
      </c>
      <c r="R31" s="30">
        <f t="shared" si="6"/>
        <v>124362.353775492</v>
      </c>
      <c r="S31" s="30">
        <f t="shared" si="6"/>
        <v>124362.353775492</v>
      </c>
      <c r="T31" s="30">
        <f t="shared" si="6"/>
        <v>124362.353775492</v>
      </c>
      <c r="U31" s="30">
        <f t="shared" si="6"/>
        <v>124362.353775492</v>
      </c>
      <c r="V31" s="30">
        <f t="shared" si="6"/>
        <v>124362.353775492</v>
      </c>
      <c r="W31" s="9">
        <f>SUM(C31:V31)</f>
        <v>2036499.0236068426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116071.53019045919</v>
      </c>
      <c r="D32" s="26">
        <f t="shared" ref="D32:E32" si="7">D23-D28-D29-D30-D31</f>
        <v>116071.53019045919</v>
      </c>
      <c r="E32" s="26">
        <f t="shared" si="7"/>
        <v>94460.906190459194</v>
      </c>
      <c r="F32" s="26">
        <f>F23-F28-F29-F30-F31</f>
        <v>83655.594190459204</v>
      </c>
      <c r="G32" s="26">
        <f t="shared" ref="G32:O32" si="8">G23-G28-G29-G30-G31</f>
        <v>82034.797390459193</v>
      </c>
      <c r="H32" s="26">
        <f t="shared" si="8"/>
        <v>94841.902024266543</v>
      </c>
      <c r="I32" s="26">
        <f t="shared" si="8"/>
        <v>252653.327564148</v>
      </c>
      <c r="J32" s="26">
        <f t="shared" si="8"/>
        <v>250777.05266854801</v>
      </c>
      <c r="K32" s="26">
        <f t="shared" si="8"/>
        <v>248806.964028168</v>
      </c>
      <c r="L32" s="26">
        <f t="shared" si="8"/>
        <v>246738.37095576897</v>
      </c>
      <c r="M32" s="26">
        <f t="shared" si="8"/>
        <v>244566.34822975</v>
      </c>
      <c r="N32" s="26">
        <f t="shared" si="8"/>
        <v>242285.72436743014</v>
      </c>
      <c r="O32" s="26">
        <f t="shared" si="8"/>
        <v>239891.06931199424</v>
      </c>
      <c r="P32" s="26">
        <f>P23-P28-P29-P30-P31</f>
        <v>237376.68150378653</v>
      </c>
      <c r="Q32" s="26">
        <f t="shared" ref="Q32:V32" si="9">Q23-Q28-Q29-Q30-Q31</f>
        <v>234736.57430516847</v>
      </c>
      <c r="R32" s="26">
        <f t="shared" si="9"/>
        <v>231964.46174661949</v>
      </c>
      <c r="S32" s="26">
        <f t="shared" si="9"/>
        <v>229053.74356014305</v>
      </c>
      <c r="T32" s="26">
        <f t="shared" si="9"/>
        <v>225997.48946434283</v>
      </c>
      <c r="U32" s="26">
        <f t="shared" si="9"/>
        <v>222788.42266375251</v>
      </c>
      <c r="V32" s="26">
        <f t="shared" si="9"/>
        <v>219418.9025231328</v>
      </c>
      <c r="W32" s="9">
        <f>SUM(C32:V32)</f>
        <v>3914191.3930693162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3167476.710479599</v>
      </c>
      <c r="C37" s="18"/>
    </row>
    <row r="38" spans="1:22" x14ac:dyDescent="0.35">
      <c r="A38" s="11" t="s">
        <v>27</v>
      </c>
      <c r="B38" s="13">
        <f>IRR(B29:V29,0.05)</f>
        <v>0.17953986963704227</v>
      </c>
    </row>
    <row r="39" spans="1:22" x14ac:dyDescent="0.35">
      <c r="A39" s="11" t="s">
        <v>31</v>
      </c>
      <c r="B39" s="20">
        <v>5.92</v>
      </c>
      <c r="C39" s="19"/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2163186.5383240567</v>
      </c>
      <c r="C45" s="18"/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43"/>
  <sheetViews>
    <sheetView topLeftCell="A23" zoomScale="99" zoomScaleNormal="99" workbookViewId="0">
      <selection activeCell="C29" sqref="C29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536.06*5</f>
        <v>2680.2999999999997</v>
      </c>
      <c r="C4" s="1" t="s">
        <v>80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78</v>
      </c>
      <c r="B13" s="3">
        <v>14259678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2982004.0868174196</v>
      </c>
      <c r="D23" s="6">
        <f t="shared" ref="D23:V23" si="0">((($B$4*$B$7*$F$7)-((($B$4*$B$7*$F$7)*10%))+((($B$4*$B$9)*$F$9)+((($B$4*$B$7)*$F$9)*10%))))</f>
        <v>2982004.0868174196</v>
      </c>
      <c r="E23" s="6">
        <f t="shared" si="0"/>
        <v>2982004.0868174196</v>
      </c>
      <c r="F23" s="6">
        <f t="shared" si="0"/>
        <v>2982004.0868174196</v>
      </c>
      <c r="G23" s="6">
        <f t="shared" si="0"/>
        <v>2982004.0868174196</v>
      </c>
      <c r="H23" s="6">
        <f t="shared" si="0"/>
        <v>2982004.0868174196</v>
      </c>
      <c r="I23" s="6">
        <f t="shared" si="0"/>
        <v>2982004.0868174196</v>
      </c>
      <c r="J23" s="6">
        <f t="shared" si="0"/>
        <v>2982004.0868174196</v>
      </c>
      <c r="K23" s="6">
        <f t="shared" si="0"/>
        <v>2982004.0868174196</v>
      </c>
      <c r="L23" s="6">
        <f t="shared" si="0"/>
        <v>2982004.0868174196</v>
      </c>
      <c r="M23" s="6">
        <f t="shared" si="0"/>
        <v>2982004.0868174196</v>
      </c>
      <c r="N23" s="6">
        <f t="shared" si="0"/>
        <v>2982004.0868174196</v>
      </c>
      <c r="O23" s="6">
        <f t="shared" si="0"/>
        <v>2982004.0868174196</v>
      </c>
      <c r="P23" s="6">
        <f t="shared" si="0"/>
        <v>2982004.0868174196</v>
      </c>
      <c r="Q23" s="6">
        <f t="shared" si="0"/>
        <v>2982004.0868174196</v>
      </c>
      <c r="R23" s="6">
        <f t="shared" si="0"/>
        <v>2982004.0868174196</v>
      </c>
      <c r="S23" s="6">
        <f t="shared" si="0"/>
        <v>2982004.0868174196</v>
      </c>
      <c r="T23" s="6">
        <f t="shared" si="0"/>
        <v>2982004.0868174196</v>
      </c>
      <c r="U23" s="6">
        <f t="shared" si="0"/>
        <v>2982004.0868174196</v>
      </c>
      <c r="V23" s="6">
        <f t="shared" si="0"/>
        <v>2982004.0868174196</v>
      </c>
      <c r="W23" s="9">
        <f>SUM(B23:V23)</f>
        <v>59640081.736348413</v>
      </c>
    </row>
    <row r="24" spans="1:23" s="4" customFormat="1" x14ac:dyDescent="0.35">
      <c r="A24" s="5" t="s">
        <v>29</v>
      </c>
      <c r="B24" s="6">
        <f>B13</f>
        <v>14259678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14259678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14259678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-14259678</v>
      </c>
      <c r="C29" s="33">
        <f>C23*0.8</f>
        <v>2385603.2694539358</v>
      </c>
      <c r="D29" s="33">
        <f t="shared" ref="D29:G29" si="3">D23*0.8</f>
        <v>2385603.2694539358</v>
      </c>
      <c r="E29" s="33">
        <f t="shared" si="3"/>
        <v>2385603.2694539358</v>
      </c>
      <c r="F29" s="33">
        <f t="shared" si="3"/>
        <v>2385603.2694539358</v>
      </c>
      <c r="G29" s="33">
        <f t="shared" si="3"/>
        <v>2385603.2694539358</v>
      </c>
      <c r="H29" s="33">
        <f>(H23*0.8*11/12)+(H23*0.5*1/12)</f>
        <v>2311053.1672835005</v>
      </c>
      <c r="I29" s="33">
        <f>I23*0.5</f>
        <v>1491002.0434087098</v>
      </c>
      <c r="J29" s="33">
        <f t="shared" ref="J29:V29" si="4">J23*0.5</f>
        <v>1491002.0434087098</v>
      </c>
      <c r="K29" s="33">
        <f t="shared" si="4"/>
        <v>1491002.0434087098</v>
      </c>
      <c r="L29" s="33">
        <f t="shared" si="4"/>
        <v>1491002.0434087098</v>
      </c>
      <c r="M29" s="33">
        <f t="shared" si="4"/>
        <v>1491002.0434087098</v>
      </c>
      <c r="N29" s="33">
        <f t="shared" si="4"/>
        <v>1491002.0434087098</v>
      </c>
      <c r="O29" s="33">
        <f t="shared" si="4"/>
        <v>1491002.0434087098</v>
      </c>
      <c r="P29" s="33">
        <f t="shared" si="4"/>
        <v>1491002.0434087098</v>
      </c>
      <c r="Q29" s="33">
        <f t="shared" si="4"/>
        <v>1491002.0434087098</v>
      </c>
      <c r="R29" s="33">
        <f t="shared" si="4"/>
        <v>1491002.0434087098</v>
      </c>
      <c r="S29" s="33">
        <f t="shared" si="4"/>
        <v>1491002.0434087098</v>
      </c>
      <c r="T29" s="33">
        <f t="shared" si="4"/>
        <v>1491002.0434087098</v>
      </c>
      <c r="U29" s="33">
        <f t="shared" si="4"/>
        <v>1491002.0434087098</v>
      </c>
      <c r="V29" s="33">
        <f t="shared" si="4"/>
        <v>1491002.0434087098</v>
      </c>
      <c r="W29" s="34">
        <f>SUM(B29:V29)</f>
        <v>20853420.122275118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142596.78</v>
      </c>
      <c r="F30" s="43">
        <f>E30*1.05</f>
        <v>149726.61900000001</v>
      </c>
      <c r="G30" s="43">
        <f t="shared" ref="G30:V30" si="5">F30*1.05</f>
        <v>157212.94995000001</v>
      </c>
      <c r="H30" s="43">
        <f t="shared" si="5"/>
        <v>165073.59744750001</v>
      </c>
      <c r="I30" s="43">
        <f t="shared" si="5"/>
        <v>173327.27731987502</v>
      </c>
      <c r="J30" s="43">
        <f t="shared" si="5"/>
        <v>181993.64118586879</v>
      </c>
      <c r="K30" s="43">
        <f t="shared" si="5"/>
        <v>191093.32324516223</v>
      </c>
      <c r="L30" s="43">
        <f t="shared" si="5"/>
        <v>200647.98940742036</v>
      </c>
      <c r="M30" s="43">
        <f t="shared" si="5"/>
        <v>210680.38887779138</v>
      </c>
      <c r="N30" s="43">
        <f t="shared" si="5"/>
        <v>221214.40832168097</v>
      </c>
      <c r="O30" s="43">
        <f t="shared" si="5"/>
        <v>232275.12873776502</v>
      </c>
      <c r="P30" s="43">
        <f t="shared" si="5"/>
        <v>243888.88517465329</v>
      </c>
      <c r="Q30" s="43">
        <f t="shared" si="5"/>
        <v>256083.32943338595</v>
      </c>
      <c r="R30" s="43">
        <f t="shared" si="5"/>
        <v>268887.49590505526</v>
      </c>
      <c r="S30" s="43">
        <f t="shared" si="5"/>
        <v>282331.87070030801</v>
      </c>
      <c r="T30" s="43">
        <f t="shared" si="5"/>
        <v>296448.46423532342</v>
      </c>
      <c r="U30" s="43">
        <f t="shared" si="5"/>
        <v>311270.8874470896</v>
      </c>
      <c r="V30" s="43">
        <f t="shared" si="5"/>
        <v>326834.43181944411</v>
      </c>
      <c r="W30" s="9">
        <f>SUM(C30:V30)</f>
        <v>4011587.4682083232</v>
      </c>
    </row>
    <row r="31" spans="1:23" s="29" customFormat="1" x14ac:dyDescent="0.35">
      <c r="A31" s="29" t="s">
        <v>34</v>
      </c>
      <c r="B31" s="30"/>
      <c r="C31" s="30">
        <f>(C23-C28-C29)*0.3</f>
        <v>178920.24520904516</v>
      </c>
      <c r="D31" s="30">
        <f t="shared" ref="D31:V31" si="6">(D23-D28-D29)*0.3</f>
        <v>178920.24520904516</v>
      </c>
      <c r="E31" s="30">
        <f>(E23-E28-E29-E30)*0.3</f>
        <v>136141.21120904514</v>
      </c>
      <c r="F31" s="30">
        <f t="shared" si="6"/>
        <v>178920.24520904516</v>
      </c>
      <c r="G31" s="30">
        <f t="shared" si="6"/>
        <v>178920.24520904516</v>
      </c>
      <c r="H31" s="30">
        <f t="shared" si="6"/>
        <v>201285.27586017572</v>
      </c>
      <c r="I31" s="30">
        <f t="shared" si="6"/>
        <v>447300.61302261293</v>
      </c>
      <c r="J31" s="30">
        <f t="shared" si="6"/>
        <v>447300.61302261293</v>
      </c>
      <c r="K31" s="30">
        <f t="shared" si="6"/>
        <v>447300.61302261293</v>
      </c>
      <c r="L31" s="30">
        <f t="shared" si="6"/>
        <v>447300.61302261293</v>
      </c>
      <c r="M31" s="30">
        <f t="shared" si="6"/>
        <v>447300.61302261293</v>
      </c>
      <c r="N31" s="30">
        <f t="shared" si="6"/>
        <v>447300.61302261293</v>
      </c>
      <c r="O31" s="30">
        <f t="shared" si="6"/>
        <v>447300.61302261293</v>
      </c>
      <c r="P31" s="30">
        <f t="shared" si="6"/>
        <v>447300.61302261293</v>
      </c>
      <c r="Q31" s="30">
        <f t="shared" si="6"/>
        <v>447300.61302261293</v>
      </c>
      <c r="R31" s="30">
        <f t="shared" si="6"/>
        <v>447300.61302261293</v>
      </c>
      <c r="S31" s="30">
        <f t="shared" si="6"/>
        <v>447300.61302261293</v>
      </c>
      <c r="T31" s="30">
        <f t="shared" si="6"/>
        <v>447300.61302261293</v>
      </c>
      <c r="U31" s="30">
        <f t="shared" si="6"/>
        <v>447300.61302261293</v>
      </c>
      <c r="V31" s="30">
        <f t="shared" si="6"/>
        <v>447300.61302261293</v>
      </c>
      <c r="W31" s="9">
        <f>SUM(C31:V31)</f>
        <v>7315316.0502219852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417480.57215443871</v>
      </c>
      <c r="D32" s="26">
        <f t="shared" ref="D32:E32" si="7">D23-D28-D29-D30-D31</f>
        <v>417480.57215443871</v>
      </c>
      <c r="E32" s="26">
        <f t="shared" si="7"/>
        <v>317662.82615443866</v>
      </c>
      <c r="F32" s="26">
        <f>F23-F28-F29-F30-F31</f>
        <v>267753.95315443864</v>
      </c>
      <c r="G32" s="26">
        <f t="shared" ref="G32:O32" si="8">G23-G28-G29-G30-G31</f>
        <v>260267.62220443864</v>
      </c>
      <c r="H32" s="26">
        <f t="shared" si="8"/>
        <v>304592.04622624337</v>
      </c>
      <c r="I32" s="26">
        <f t="shared" si="8"/>
        <v>870374.15306622186</v>
      </c>
      <c r="J32" s="26">
        <f t="shared" si="8"/>
        <v>861707.78920022817</v>
      </c>
      <c r="K32" s="26">
        <f t="shared" si="8"/>
        <v>852608.10714093479</v>
      </c>
      <c r="L32" s="26">
        <f t="shared" si="8"/>
        <v>843053.44097867655</v>
      </c>
      <c r="M32" s="26">
        <f t="shared" si="8"/>
        <v>833021.04150830559</v>
      </c>
      <c r="N32" s="26">
        <f t="shared" si="8"/>
        <v>822487.02206441597</v>
      </c>
      <c r="O32" s="26">
        <f t="shared" si="8"/>
        <v>811426.30164833181</v>
      </c>
      <c r="P32" s="26">
        <f>P23-P28-P29-P30-P31</f>
        <v>799812.54521144368</v>
      </c>
      <c r="Q32" s="26">
        <f t="shared" ref="Q32:V32" si="9">Q23-Q28-Q29-Q30-Q31</f>
        <v>787618.10095271096</v>
      </c>
      <c r="R32" s="26">
        <f t="shared" si="9"/>
        <v>774813.93448104174</v>
      </c>
      <c r="S32" s="26">
        <f t="shared" si="9"/>
        <v>761369.55968578905</v>
      </c>
      <c r="T32" s="26">
        <f t="shared" si="9"/>
        <v>747252.96615077346</v>
      </c>
      <c r="U32" s="26">
        <f t="shared" si="9"/>
        <v>732430.54293900728</v>
      </c>
      <c r="V32" s="26">
        <f t="shared" si="9"/>
        <v>716866.99856665288</v>
      </c>
      <c r="W32" s="9">
        <f>SUM(C32:V32)</f>
        <v>13200080.095642971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8387231.4271060396</v>
      </c>
      <c r="C37" s="18"/>
    </row>
    <row r="38" spans="1:22" x14ac:dyDescent="0.35">
      <c r="A38" s="11" t="s">
        <v>27</v>
      </c>
      <c r="B38" s="13">
        <f>IRR(B29:V29,0.05)</f>
        <v>0.12667873653492645</v>
      </c>
    </row>
    <row r="39" spans="1:22" x14ac:dyDescent="0.35">
      <c r="A39" s="11" t="s">
        <v>31</v>
      </c>
      <c r="B39" s="20">
        <v>5.92</v>
      </c>
      <c r="C39" s="19"/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</sheetData>
  <pageMargins left="0.25" right="0.25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8"/>
  <sheetViews>
    <sheetView topLeftCell="A3" zoomScale="99" zoomScaleNormal="99" workbookViewId="0">
      <selection activeCell="C32" sqref="C32"/>
    </sheetView>
  </sheetViews>
  <sheetFormatPr defaultRowHeight="14.5" x14ac:dyDescent="0.35"/>
  <cols>
    <col min="1" max="1" width="58.179687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604.44*5</f>
        <v>3022.2000000000003</v>
      </c>
      <c r="C4" s="1" t="s">
        <v>63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65</v>
      </c>
      <c r="B13" s="3">
        <v>20358669.5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3362389.5650410806</v>
      </c>
      <c r="D23" s="6">
        <f t="shared" ref="D23:V23" si="0">((($B$4*$B$7*$F$7)-((($B$4*$B$7*$F$7)*10%))+((($B$4*$B$9)*$F$9)+((($B$4*$B$7)*$F$9)*10%))))</f>
        <v>3362389.5650410806</v>
      </c>
      <c r="E23" s="6">
        <f t="shared" si="0"/>
        <v>3362389.5650410806</v>
      </c>
      <c r="F23" s="6">
        <f t="shared" si="0"/>
        <v>3362389.5650410806</v>
      </c>
      <c r="G23" s="6">
        <f t="shared" si="0"/>
        <v>3362389.5650410806</v>
      </c>
      <c r="H23" s="6">
        <f t="shared" si="0"/>
        <v>3362389.5650410806</v>
      </c>
      <c r="I23" s="6">
        <f t="shared" si="0"/>
        <v>3362389.5650410806</v>
      </c>
      <c r="J23" s="6">
        <f t="shared" si="0"/>
        <v>3362389.5650410806</v>
      </c>
      <c r="K23" s="6">
        <f t="shared" si="0"/>
        <v>3362389.5650410806</v>
      </c>
      <c r="L23" s="6">
        <f t="shared" si="0"/>
        <v>3362389.5650410806</v>
      </c>
      <c r="M23" s="6">
        <f t="shared" si="0"/>
        <v>3362389.5650410806</v>
      </c>
      <c r="N23" s="6">
        <f t="shared" si="0"/>
        <v>3362389.5650410806</v>
      </c>
      <c r="O23" s="6">
        <f t="shared" si="0"/>
        <v>3362389.5650410806</v>
      </c>
      <c r="P23" s="6">
        <f t="shared" si="0"/>
        <v>3362389.5650410806</v>
      </c>
      <c r="Q23" s="6">
        <f t="shared" si="0"/>
        <v>3362389.5650410806</v>
      </c>
      <c r="R23" s="6">
        <f t="shared" si="0"/>
        <v>3362389.5650410806</v>
      </c>
      <c r="S23" s="6">
        <f t="shared" si="0"/>
        <v>3362389.5650410806</v>
      </c>
      <c r="T23" s="6">
        <f t="shared" si="0"/>
        <v>3362389.5650410806</v>
      </c>
      <c r="U23" s="6">
        <f t="shared" si="0"/>
        <v>3362389.5650410806</v>
      </c>
      <c r="V23" s="6">
        <f t="shared" si="0"/>
        <v>3362389.5650410806</v>
      </c>
      <c r="W23" s="9">
        <f>SUM(B23:V23)</f>
        <v>67247791.300821617</v>
      </c>
    </row>
    <row r="24" spans="1:23" s="4" customFormat="1" x14ac:dyDescent="0.35">
      <c r="A24" s="5" t="s">
        <v>29</v>
      </c>
      <c r="B24" s="6">
        <f>B13</f>
        <v>20358669.5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20358669.5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20358669.5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-20358669.5</v>
      </c>
      <c r="C29" s="33">
        <f>C23*0.8</f>
        <v>2689911.6520328647</v>
      </c>
      <c r="D29" s="33">
        <f t="shared" ref="D29:G29" si="3">D23*0.8</f>
        <v>2689911.6520328647</v>
      </c>
      <c r="E29" s="33">
        <f t="shared" si="3"/>
        <v>2689911.6520328647</v>
      </c>
      <c r="F29" s="33">
        <f t="shared" si="3"/>
        <v>2689911.6520328647</v>
      </c>
      <c r="G29" s="33">
        <f t="shared" si="3"/>
        <v>2689911.6520328647</v>
      </c>
      <c r="H29" s="33">
        <f>(H23*0.8*11/12)+(H23*0.5*1/12)</f>
        <v>2605851.9129068376</v>
      </c>
      <c r="I29" s="33">
        <f>I23*0.5</f>
        <v>1681194.7825205403</v>
      </c>
      <c r="J29" s="33">
        <f t="shared" ref="J29:V29" si="4">J23*0.5</f>
        <v>1681194.7825205403</v>
      </c>
      <c r="K29" s="33">
        <f t="shared" si="4"/>
        <v>1681194.7825205403</v>
      </c>
      <c r="L29" s="33">
        <f t="shared" si="4"/>
        <v>1681194.7825205403</v>
      </c>
      <c r="M29" s="33">
        <f t="shared" si="4"/>
        <v>1681194.7825205403</v>
      </c>
      <c r="N29" s="33">
        <f t="shared" si="4"/>
        <v>1681194.7825205403</v>
      </c>
      <c r="O29" s="33">
        <f t="shared" si="4"/>
        <v>1681194.7825205403</v>
      </c>
      <c r="P29" s="33">
        <f t="shared" si="4"/>
        <v>1681194.7825205403</v>
      </c>
      <c r="Q29" s="33">
        <f t="shared" si="4"/>
        <v>1681194.7825205403</v>
      </c>
      <c r="R29" s="33">
        <f t="shared" si="4"/>
        <v>1681194.7825205403</v>
      </c>
      <c r="S29" s="33">
        <f t="shared" si="4"/>
        <v>1681194.7825205403</v>
      </c>
      <c r="T29" s="33">
        <f t="shared" si="4"/>
        <v>1681194.7825205403</v>
      </c>
      <c r="U29" s="33">
        <f t="shared" si="4"/>
        <v>1681194.7825205403</v>
      </c>
      <c r="V29" s="33">
        <f t="shared" si="4"/>
        <v>1681194.7825205403</v>
      </c>
      <c r="W29" s="34">
        <f>SUM(B29:V29)</f>
        <v>19233467.628358725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203586.69500000001</v>
      </c>
      <c r="F30" s="43">
        <f>E30*1.05</f>
        <v>213766.02975000002</v>
      </c>
      <c r="G30" s="43">
        <f t="shared" ref="G30:V30" si="5">F30*1.05</f>
        <v>224454.33123750004</v>
      </c>
      <c r="H30" s="43">
        <f t="shared" si="5"/>
        <v>235677.04779937505</v>
      </c>
      <c r="I30" s="43">
        <f t="shared" si="5"/>
        <v>247460.90018934381</v>
      </c>
      <c r="J30" s="43">
        <f t="shared" si="5"/>
        <v>259833.94519881101</v>
      </c>
      <c r="K30" s="43">
        <f t="shared" si="5"/>
        <v>272825.64245875156</v>
      </c>
      <c r="L30" s="43">
        <f t="shared" si="5"/>
        <v>286466.92458168918</v>
      </c>
      <c r="M30" s="43">
        <f t="shared" si="5"/>
        <v>300790.27081077365</v>
      </c>
      <c r="N30" s="43">
        <f t="shared" si="5"/>
        <v>315829.78435131232</v>
      </c>
      <c r="O30" s="43">
        <f t="shared" si="5"/>
        <v>331621.27356887795</v>
      </c>
      <c r="P30" s="43">
        <f t="shared" si="5"/>
        <v>348202.33724732185</v>
      </c>
      <c r="Q30" s="43">
        <f t="shared" si="5"/>
        <v>365612.45410968794</v>
      </c>
      <c r="R30" s="43">
        <f t="shared" si="5"/>
        <v>383893.07681517233</v>
      </c>
      <c r="S30" s="43">
        <f t="shared" si="5"/>
        <v>403087.73065593094</v>
      </c>
      <c r="T30" s="43">
        <f t="shared" si="5"/>
        <v>423242.11718872748</v>
      </c>
      <c r="U30" s="43">
        <f t="shared" si="5"/>
        <v>444404.22304816387</v>
      </c>
      <c r="V30" s="43">
        <f t="shared" si="5"/>
        <v>466624.43420057208</v>
      </c>
      <c r="W30" s="9">
        <f>SUM(C30:V30)</f>
        <v>5727379.2182120103</v>
      </c>
    </row>
    <row r="31" spans="1:23" s="29" customFormat="1" x14ac:dyDescent="0.35">
      <c r="A31" s="29" t="s">
        <v>34</v>
      </c>
      <c r="B31" s="30"/>
      <c r="C31" s="30">
        <f>(C23-C28-C29)*0.3</f>
        <v>201743.37390246475</v>
      </c>
      <c r="D31" s="30">
        <f t="shared" ref="D31:V31" si="6">(D23-D28-D29)*0.3</f>
        <v>201743.37390246475</v>
      </c>
      <c r="E31" s="30">
        <f>(E23-E28-E29-E30)*0.3</f>
        <v>140667.36540246475</v>
      </c>
      <c r="F31" s="30">
        <f t="shared" si="6"/>
        <v>201743.37390246475</v>
      </c>
      <c r="G31" s="30">
        <f t="shared" si="6"/>
        <v>201743.37390246475</v>
      </c>
      <c r="H31" s="30">
        <f t="shared" si="6"/>
        <v>226961.29564027287</v>
      </c>
      <c r="I31" s="30">
        <f t="shared" si="6"/>
        <v>504358.43475616205</v>
      </c>
      <c r="J31" s="30">
        <f t="shared" si="6"/>
        <v>504358.43475616205</v>
      </c>
      <c r="K31" s="30">
        <f t="shared" si="6"/>
        <v>504358.43475616205</v>
      </c>
      <c r="L31" s="30">
        <f t="shared" si="6"/>
        <v>504358.43475616205</v>
      </c>
      <c r="M31" s="30">
        <f t="shared" si="6"/>
        <v>504358.43475616205</v>
      </c>
      <c r="N31" s="30">
        <f t="shared" si="6"/>
        <v>504358.43475616205</v>
      </c>
      <c r="O31" s="30">
        <f t="shared" si="6"/>
        <v>504358.43475616205</v>
      </c>
      <c r="P31" s="30">
        <f t="shared" si="6"/>
        <v>504358.43475616205</v>
      </c>
      <c r="Q31" s="30">
        <f t="shared" si="6"/>
        <v>504358.43475616205</v>
      </c>
      <c r="R31" s="30">
        <f t="shared" si="6"/>
        <v>504358.43475616205</v>
      </c>
      <c r="S31" s="30">
        <f t="shared" si="6"/>
        <v>504358.43475616205</v>
      </c>
      <c r="T31" s="30">
        <f t="shared" si="6"/>
        <v>504358.43475616205</v>
      </c>
      <c r="U31" s="30">
        <f t="shared" si="6"/>
        <v>504358.43475616205</v>
      </c>
      <c r="V31" s="30">
        <f t="shared" si="6"/>
        <v>504358.43475616205</v>
      </c>
      <c r="W31" s="9">
        <f>SUM(C31:V31)</f>
        <v>8235620.2432388617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470734.53910575109</v>
      </c>
      <c r="D32" s="26">
        <f t="shared" ref="D32:E32" si="7">D23-D28-D29-D30-D31</f>
        <v>470734.53910575109</v>
      </c>
      <c r="E32" s="26">
        <f t="shared" si="7"/>
        <v>328223.85260575108</v>
      </c>
      <c r="F32" s="26">
        <f>F23-F28-F29-F30-F31</f>
        <v>256968.5093557511</v>
      </c>
      <c r="G32" s="26">
        <f t="shared" ref="G32:O32" si="8">G23-G28-G29-G30-G31</f>
        <v>246280.20786825102</v>
      </c>
      <c r="H32" s="26">
        <f t="shared" si="8"/>
        <v>293899.30869459501</v>
      </c>
      <c r="I32" s="26">
        <f t="shared" si="8"/>
        <v>929375.44757503434</v>
      </c>
      <c r="J32" s="26">
        <f t="shared" si="8"/>
        <v>917002.40256556729</v>
      </c>
      <c r="K32" s="26">
        <f t="shared" si="8"/>
        <v>904010.70530562662</v>
      </c>
      <c r="L32" s="26">
        <f t="shared" si="8"/>
        <v>890369.42318268912</v>
      </c>
      <c r="M32" s="26">
        <f t="shared" si="8"/>
        <v>876046.07695360458</v>
      </c>
      <c r="N32" s="26">
        <f t="shared" si="8"/>
        <v>861006.56341306586</v>
      </c>
      <c r="O32" s="26">
        <f t="shared" si="8"/>
        <v>845215.07419550023</v>
      </c>
      <c r="P32" s="26">
        <f>P23-P28-P29-P30-P31</f>
        <v>828634.01051705633</v>
      </c>
      <c r="Q32" s="26">
        <f t="shared" ref="Q32:V32" si="9">Q23-Q28-Q29-Q30-Q31</f>
        <v>811223.89365469012</v>
      </c>
      <c r="R32" s="26">
        <f t="shared" si="9"/>
        <v>792943.27094920585</v>
      </c>
      <c r="S32" s="26">
        <f t="shared" si="9"/>
        <v>773748.61710844724</v>
      </c>
      <c r="T32" s="26">
        <f t="shared" si="9"/>
        <v>753594.2305756507</v>
      </c>
      <c r="U32" s="26">
        <f t="shared" si="9"/>
        <v>732432.12471621437</v>
      </c>
      <c r="V32" s="26">
        <f t="shared" si="9"/>
        <v>710211.9135638061</v>
      </c>
      <c r="W32" s="9">
        <f>SUM(C32:V32)</f>
        <v>13692654.71101201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5380898.1406487487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8.5720054887179931E-2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7631533.3596899426</v>
      </c>
      <c r="C45" s="18">
        <f>B45/B26</f>
        <v>0.37485422903937521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8"/>
  <sheetViews>
    <sheetView topLeftCell="A21" zoomScale="99" zoomScaleNormal="99" workbookViewId="0">
      <selection activeCell="C32" sqref="C32"/>
    </sheetView>
  </sheetViews>
  <sheetFormatPr defaultRowHeight="14.5" x14ac:dyDescent="0.35"/>
  <cols>
    <col min="1" max="1" width="60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459.54*5</f>
        <v>2297.7000000000003</v>
      </c>
      <c r="C4" s="1" t="s">
        <v>58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61</v>
      </c>
      <c r="B13" s="3">
        <v>12814707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2556337.2720517805</v>
      </c>
      <c r="D23" s="6">
        <f t="shared" ref="D23:V23" si="0">((($B$4*$B$7*$F$7)-((($B$4*$B$7*$F$7)*10%))+((($B$4*$B$9)*$F$9)+((($B$4*$B$7)*$F$9)*10%))))</f>
        <v>2556337.2720517805</v>
      </c>
      <c r="E23" s="6">
        <f t="shared" si="0"/>
        <v>2556337.2720517805</v>
      </c>
      <c r="F23" s="6">
        <f t="shared" si="0"/>
        <v>2556337.2720517805</v>
      </c>
      <c r="G23" s="6">
        <f t="shared" si="0"/>
        <v>2556337.2720517805</v>
      </c>
      <c r="H23" s="6">
        <f t="shared" si="0"/>
        <v>2556337.2720517805</v>
      </c>
      <c r="I23" s="6">
        <f t="shared" si="0"/>
        <v>2556337.2720517805</v>
      </c>
      <c r="J23" s="6">
        <f t="shared" si="0"/>
        <v>2556337.2720517805</v>
      </c>
      <c r="K23" s="6">
        <f t="shared" si="0"/>
        <v>2556337.2720517805</v>
      </c>
      <c r="L23" s="6">
        <f t="shared" si="0"/>
        <v>2556337.2720517805</v>
      </c>
      <c r="M23" s="6">
        <f t="shared" si="0"/>
        <v>2556337.2720517805</v>
      </c>
      <c r="N23" s="6">
        <f t="shared" si="0"/>
        <v>2556337.2720517805</v>
      </c>
      <c r="O23" s="6">
        <f t="shared" si="0"/>
        <v>2556337.2720517805</v>
      </c>
      <c r="P23" s="6">
        <f t="shared" si="0"/>
        <v>2556337.2720517805</v>
      </c>
      <c r="Q23" s="6">
        <f t="shared" si="0"/>
        <v>2556337.2720517805</v>
      </c>
      <c r="R23" s="6">
        <f t="shared" si="0"/>
        <v>2556337.2720517805</v>
      </c>
      <c r="S23" s="6">
        <f t="shared" si="0"/>
        <v>2556337.2720517805</v>
      </c>
      <c r="T23" s="6">
        <f t="shared" si="0"/>
        <v>2556337.2720517805</v>
      </c>
      <c r="U23" s="6">
        <f t="shared" si="0"/>
        <v>2556337.2720517805</v>
      </c>
      <c r="V23" s="6">
        <f t="shared" si="0"/>
        <v>2556337.2720517805</v>
      </c>
      <c r="W23" s="9">
        <f>SUM(B23:V23)</f>
        <v>51126745.441035621</v>
      </c>
    </row>
    <row r="24" spans="1:23" s="4" customFormat="1" x14ac:dyDescent="0.35">
      <c r="A24" s="5" t="s">
        <v>29</v>
      </c>
      <c r="B24" s="6">
        <f>B13</f>
        <v>12814707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12814707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12814707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-12814707</v>
      </c>
      <c r="C29" s="33">
        <f>C23*0.8</f>
        <v>2045069.8176414245</v>
      </c>
      <c r="D29" s="33">
        <f t="shared" ref="D29:G29" si="3">D23*0.8</f>
        <v>2045069.8176414245</v>
      </c>
      <c r="E29" s="33">
        <f t="shared" si="3"/>
        <v>2045069.8176414245</v>
      </c>
      <c r="F29" s="33">
        <f t="shared" si="3"/>
        <v>2045069.8176414245</v>
      </c>
      <c r="G29" s="33">
        <f t="shared" si="3"/>
        <v>2045069.8176414245</v>
      </c>
      <c r="H29" s="33">
        <f>(H23*0.8*11/12)+(H23*0.5*1/12)</f>
        <v>1981161.38584013</v>
      </c>
      <c r="I29" s="33">
        <f>I23*0.5</f>
        <v>1278168.6360258902</v>
      </c>
      <c r="J29" s="33">
        <f t="shared" ref="J29:V29" si="4">J23*0.5</f>
        <v>1278168.6360258902</v>
      </c>
      <c r="K29" s="33">
        <f t="shared" si="4"/>
        <v>1278168.6360258902</v>
      </c>
      <c r="L29" s="33">
        <f t="shared" si="4"/>
        <v>1278168.6360258902</v>
      </c>
      <c r="M29" s="33">
        <f t="shared" si="4"/>
        <v>1278168.6360258902</v>
      </c>
      <c r="N29" s="33">
        <f t="shared" si="4"/>
        <v>1278168.6360258902</v>
      </c>
      <c r="O29" s="33">
        <f t="shared" si="4"/>
        <v>1278168.6360258902</v>
      </c>
      <c r="P29" s="33">
        <f t="shared" si="4"/>
        <v>1278168.6360258902</v>
      </c>
      <c r="Q29" s="33">
        <f t="shared" si="4"/>
        <v>1278168.6360258902</v>
      </c>
      <c r="R29" s="33">
        <f t="shared" si="4"/>
        <v>1278168.6360258902</v>
      </c>
      <c r="S29" s="33">
        <f t="shared" si="4"/>
        <v>1278168.6360258902</v>
      </c>
      <c r="T29" s="33">
        <f t="shared" si="4"/>
        <v>1278168.6360258902</v>
      </c>
      <c r="U29" s="33">
        <f t="shared" si="4"/>
        <v>1278168.6360258902</v>
      </c>
      <c r="V29" s="33">
        <f t="shared" si="4"/>
        <v>1278168.6360258902</v>
      </c>
      <c r="W29" s="34">
        <f>SUM(B29:V29)</f>
        <v>17286164.378409717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128147.07</v>
      </c>
      <c r="F30" s="43">
        <f>E30*1.05</f>
        <v>134554.4235</v>
      </c>
      <c r="G30" s="43">
        <f t="shared" ref="G30:V30" si="5">F30*1.05</f>
        <v>141282.14467500002</v>
      </c>
      <c r="H30" s="43">
        <f t="shared" si="5"/>
        <v>148346.25190875001</v>
      </c>
      <c r="I30" s="43">
        <f t="shared" si="5"/>
        <v>155763.56450418753</v>
      </c>
      <c r="J30" s="43">
        <f t="shared" si="5"/>
        <v>163551.74272939691</v>
      </c>
      <c r="K30" s="43">
        <f t="shared" si="5"/>
        <v>171729.32986586675</v>
      </c>
      <c r="L30" s="43">
        <f t="shared" si="5"/>
        <v>180315.7963591601</v>
      </c>
      <c r="M30" s="43">
        <f t="shared" si="5"/>
        <v>189331.58617711812</v>
      </c>
      <c r="N30" s="43">
        <f t="shared" si="5"/>
        <v>198798.16548597402</v>
      </c>
      <c r="O30" s="43">
        <f t="shared" si="5"/>
        <v>208738.07376027273</v>
      </c>
      <c r="P30" s="43">
        <f t="shared" si="5"/>
        <v>219174.97744828637</v>
      </c>
      <c r="Q30" s="43">
        <f t="shared" si="5"/>
        <v>230133.72632070069</v>
      </c>
      <c r="R30" s="43">
        <f t="shared" si="5"/>
        <v>241640.41263673574</v>
      </c>
      <c r="S30" s="43">
        <f t="shared" si="5"/>
        <v>253722.43326857252</v>
      </c>
      <c r="T30" s="43">
        <f t="shared" si="5"/>
        <v>266408.55493200116</v>
      </c>
      <c r="U30" s="43">
        <f t="shared" si="5"/>
        <v>279728.98267860123</v>
      </c>
      <c r="V30" s="43">
        <f t="shared" si="5"/>
        <v>293715.43181253131</v>
      </c>
      <c r="W30" s="9">
        <f>SUM(C30:V30)</f>
        <v>3605082.6680631549</v>
      </c>
    </row>
    <row r="31" spans="1:23" s="29" customFormat="1" x14ac:dyDescent="0.35">
      <c r="A31" s="29" t="s">
        <v>34</v>
      </c>
      <c r="B31" s="30"/>
      <c r="C31" s="30">
        <f>(C23-C28-C29)*0.3</f>
        <v>153380.2363231068</v>
      </c>
      <c r="D31" s="30">
        <f t="shared" ref="D31:V31" si="6">(D23-D28-D29)*0.3</f>
        <v>153380.2363231068</v>
      </c>
      <c r="E31" s="30">
        <f>(E23-E28-E29-E30)*0.3</f>
        <v>114936.1153231068</v>
      </c>
      <c r="F31" s="30">
        <f t="shared" si="6"/>
        <v>153380.2363231068</v>
      </c>
      <c r="G31" s="30">
        <f t="shared" si="6"/>
        <v>153380.2363231068</v>
      </c>
      <c r="H31" s="30">
        <f t="shared" si="6"/>
        <v>172552.76586349512</v>
      </c>
      <c r="I31" s="30">
        <f t="shared" si="6"/>
        <v>383450.59080776706</v>
      </c>
      <c r="J31" s="30">
        <f t="shared" si="6"/>
        <v>383450.59080776706</v>
      </c>
      <c r="K31" s="30">
        <f t="shared" si="6"/>
        <v>383450.59080776706</v>
      </c>
      <c r="L31" s="30">
        <f t="shared" si="6"/>
        <v>383450.59080776706</v>
      </c>
      <c r="M31" s="30">
        <f t="shared" si="6"/>
        <v>383450.59080776706</v>
      </c>
      <c r="N31" s="30">
        <f t="shared" si="6"/>
        <v>383450.59080776706</v>
      </c>
      <c r="O31" s="30">
        <f t="shared" si="6"/>
        <v>383450.59080776706</v>
      </c>
      <c r="P31" s="30">
        <f t="shared" si="6"/>
        <v>383450.59080776706</v>
      </c>
      <c r="Q31" s="30">
        <f t="shared" si="6"/>
        <v>383450.59080776706</v>
      </c>
      <c r="R31" s="30">
        <f t="shared" si="6"/>
        <v>383450.59080776706</v>
      </c>
      <c r="S31" s="30">
        <f t="shared" si="6"/>
        <v>383450.59080776706</v>
      </c>
      <c r="T31" s="30">
        <f t="shared" si="6"/>
        <v>383450.59080776706</v>
      </c>
      <c r="U31" s="30">
        <f t="shared" si="6"/>
        <v>383450.59080776706</v>
      </c>
      <c r="V31" s="30">
        <f t="shared" si="6"/>
        <v>383450.59080776706</v>
      </c>
      <c r="W31" s="9">
        <f>SUM(C31:V31)</f>
        <v>6269318.0977877658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357887.2180872492</v>
      </c>
      <c r="D32" s="26">
        <f t="shared" ref="D32:E32" si="7">D23-D28-D29-D30-D31</f>
        <v>357887.2180872492</v>
      </c>
      <c r="E32" s="26">
        <f t="shared" si="7"/>
        <v>268184.26908724918</v>
      </c>
      <c r="F32" s="26">
        <f>F23-F28-F29-F30-F31</f>
        <v>223332.79458724917</v>
      </c>
      <c r="G32" s="26">
        <f t="shared" ref="G32:O32" si="8">G23-G28-G29-G30-G31</f>
        <v>216605.07341224921</v>
      </c>
      <c r="H32" s="26">
        <f t="shared" si="8"/>
        <v>254276.86843940528</v>
      </c>
      <c r="I32" s="26">
        <f t="shared" si="8"/>
        <v>738954.48071393557</v>
      </c>
      <c r="J32" s="26">
        <f t="shared" si="8"/>
        <v>731166.3024887261</v>
      </c>
      <c r="K32" s="26">
        <f t="shared" si="8"/>
        <v>722988.71535225632</v>
      </c>
      <c r="L32" s="26">
        <f t="shared" si="8"/>
        <v>714402.24885896314</v>
      </c>
      <c r="M32" s="26">
        <f t="shared" si="8"/>
        <v>705386.459041005</v>
      </c>
      <c r="N32" s="26">
        <f t="shared" si="8"/>
        <v>695919.87973214919</v>
      </c>
      <c r="O32" s="26">
        <f t="shared" si="8"/>
        <v>685979.97145785042</v>
      </c>
      <c r="P32" s="26">
        <f>P23-P28-P29-P30-P31</f>
        <v>675543.06776983663</v>
      </c>
      <c r="Q32" s="26">
        <f t="shared" ref="Q32:V32" si="9">Q23-Q28-Q29-Q30-Q31</f>
        <v>664584.3188974224</v>
      </c>
      <c r="R32" s="26">
        <f t="shared" si="9"/>
        <v>653077.63258138741</v>
      </c>
      <c r="S32" s="26">
        <f t="shared" si="9"/>
        <v>640995.61194955069</v>
      </c>
      <c r="T32" s="26">
        <f t="shared" si="9"/>
        <v>628309.49028612208</v>
      </c>
      <c r="U32" s="26">
        <f t="shared" si="9"/>
        <v>614989.06253952184</v>
      </c>
      <c r="V32" s="26">
        <f t="shared" si="9"/>
        <v>601002.61340559181</v>
      </c>
      <c r="W32" s="9">
        <f>SUM(C32:V32)</f>
        <v>11151473.296774969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6627584.9366771793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0.11788155580267112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6189904.7357293842</v>
      </c>
      <c r="C45" s="18">
        <f>B45/B26</f>
        <v>0.48303131204867844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8"/>
  <sheetViews>
    <sheetView topLeftCell="A22" zoomScale="99" zoomScaleNormal="99" workbookViewId="0">
      <selection activeCell="C32" sqref="C32"/>
    </sheetView>
  </sheetViews>
  <sheetFormatPr defaultRowHeight="14.5" x14ac:dyDescent="0.35"/>
  <cols>
    <col min="1" max="1" width="60.0898437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341.55*5</f>
        <v>1707.75</v>
      </c>
      <c r="C4" s="1" t="s">
        <v>64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5" t="s">
        <v>69</v>
      </c>
      <c r="B13" s="3">
        <v>10038585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1899980.4049033502</v>
      </c>
      <c r="D23" s="6">
        <f t="shared" ref="D23:V23" si="0">((($B$4*$B$7*$F$7)-((($B$4*$B$7*$F$7)*10%))+((($B$4*$B$9)*$F$9)+((($B$4*$B$7)*$F$9)*10%))))</f>
        <v>1899980.4049033502</v>
      </c>
      <c r="E23" s="6">
        <f t="shared" si="0"/>
        <v>1899980.4049033502</v>
      </c>
      <c r="F23" s="6">
        <f t="shared" si="0"/>
        <v>1899980.4049033502</v>
      </c>
      <c r="G23" s="6">
        <f t="shared" si="0"/>
        <v>1899980.4049033502</v>
      </c>
      <c r="H23" s="6">
        <f t="shared" si="0"/>
        <v>1899980.4049033502</v>
      </c>
      <c r="I23" s="6">
        <f t="shared" si="0"/>
        <v>1899980.4049033502</v>
      </c>
      <c r="J23" s="6">
        <f t="shared" si="0"/>
        <v>1899980.4049033502</v>
      </c>
      <c r="K23" s="6">
        <f t="shared" si="0"/>
        <v>1899980.4049033502</v>
      </c>
      <c r="L23" s="6">
        <f t="shared" si="0"/>
        <v>1899980.4049033502</v>
      </c>
      <c r="M23" s="6">
        <f t="shared" si="0"/>
        <v>1899980.4049033502</v>
      </c>
      <c r="N23" s="6">
        <f t="shared" si="0"/>
        <v>1899980.4049033502</v>
      </c>
      <c r="O23" s="6">
        <f t="shared" si="0"/>
        <v>1899980.4049033502</v>
      </c>
      <c r="P23" s="6">
        <f t="shared" si="0"/>
        <v>1899980.4049033502</v>
      </c>
      <c r="Q23" s="6">
        <f t="shared" si="0"/>
        <v>1899980.4049033502</v>
      </c>
      <c r="R23" s="6">
        <f t="shared" si="0"/>
        <v>1899980.4049033502</v>
      </c>
      <c r="S23" s="6">
        <f t="shared" si="0"/>
        <v>1899980.4049033502</v>
      </c>
      <c r="T23" s="6">
        <f t="shared" si="0"/>
        <v>1899980.4049033502</v>
      </c>
      <c r="U23" s="6">
        <f t="shared" si="0"/>
        <v>1899980.4049033502</v>
      </c>
      <c r="V23" s="6">
        <f t="shared" si="0"/>
        <v>1899980.4049033502</v>
      </c>
      <c r="W23" s="9">
        <f>SUM(B23:V23)</f>
        <v>37999608.098066993</v>
      </c>
    </row>
    <row r="24" spans="1:23" s="4" customFormat="1" x14ac:dyDescent="0.35">
      <c r="A24" s="5" t="s">
        <v>29</v>
      </c>
      <c r="B24" s="6">
        <f>B13</f>
        <v>10038585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10038585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51</v>
      </c>
      <c r="B26" s="10">
        <f>B13</f>
        <v>10038585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-10038585</v>
      </c>
      <c r="C29" s="33">
        <f>C23*0.8</f>
        <v>1519984.3239226802</v>
      </c>
      <c r="D29" s="33">
        <f t="shared" ref="D29:G29" si="3">D23*0.8</f>
        <v>1519984.3239226802</v>
      </c>
      <c r="E29" s="33">
        <f t="shared" si="3"/>
        <v>1519984.3239226802</v>
      </c>
      <c r="F29" s="33">
        <f t="shared" si="3"/>
        <v>1519984.3239226802</v>
      </c>
      <c r="G29" s="33">
        <f t="shared" si="3"/>
        <v>1519984.3239226802</v>
      </c>
      <c r="H29" s="33">
        <f>(H23*0.8*11/12)+(H23*0.5*1/12)</f>
        <v>1472484.8138000963</v>
      </c>
      <c r="I29" s="33">
        <f>I23*0.5</f>
        <v>949990.20245167508</v>
      </c>
      <c r="J29" s="33">
        <f t="shared" ref="J29:V29" si="4">J23*0.5</f>
        <v>949990.20245167508</v>
      </c>
      <c r="K29" s="33">
        <f t="shared" si="4"/>
        <v>949990.20245167508</v>
      </c>
      <c r="L29" s="33">
        <f t="shared" si="4"/>
        <v>949990.20245167508</v>
      </c>
      <c r="M29" s="33">
        <f t="shared" si="4"/>
        <v>949990.20245167508</v>
      </c>
      <c r="N29" s="33">
        <f t="shared" si="4"/>
        <v>949990.20245167508</v>
      </c>
      <c r="O29" s="33">
        <f t="shared" si="4"/>
        <v>949990.20245167508</v>
      </c>
      <c r="P29" s="33">
        <f t="shared" si="4"/>
        <v>949990.20245167508</v>
      </c>
      <c r="Q29" s="33">
        <f t="shared" si="4"/>
        <v>949990.20245167508</v>
      </c>
      <c r="R29" s="33">
        <f t="shared" si="4"/>
        <v>949990.20245167508</v>
      </c>
      <c r="S29" s="33">
        <f t="shared" si="4"/>
        <v>949990.20245167508</v>
      </c>
      <c r="T29" s="33">
        <f t="shared" si="4"/>
        <v>949990.20245167508</v>
      </c>
      <c r="U29" s="33">
        <f t="shared" si="4"/>
        <v>949990.20245167508</v>
      </c>
      <c r="V29" s="33">
        <f t="shared" si="4"/>
        <v>949990.20245167508</v>
      </c>
      <c r="W29" s="34">
        <f>SUM(B29:V29)</f>
        <v>12333684.267736947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100385.85</v>
      </c>
      <c r="F30" s="43">
        <f>E30*1.05</f>
        <v>105405.14250000002</v>
      </c>
      <c r="G30" s="43">
        <f t="shared" ref="G30:V30" si="5">F30*1.05</f>
        <v>110675.39962500002</v>
      </c>
      <c r="H30" s="43">
        <f t="shared" si="5"/>
        <v>116209.16960625003</v>
      </c>
      <c r="I30" s="43">
        <f t="shared" si="5"/>
        <v>122019.62808656253</v>
      </c>
      <c r="J30" s="43">
        <f t="shared" si="5"/>
        <v>128120.60949089067</v>
      </c>
      <c r="K30" s="43">
        <f t="shared" si="5"/>
        <v>134526.6399654352</v>
      </c>
      <c r="L30" s="43">
        <f t="shared" si="5"/>
        <v>141252.97196370698</v>
      </c>
      <c r="M30" s="43">
        <f t="shared" si="5"/>
        <v>148315.62056189234</v>
      </c>
      <c r="N30" s="43">
        <f t="shared" si="5"/>
        <v>155731.40158998696</v>
      </c>
      <c r="O30" s="43">
        <f t="shared" si="5"/>
        <v>163517.97166948632</v>
      </c>
      <c r="P30" s="43">
        <f t="shared" si="5"/>
        <v>171693.87025296065</v>
      </c>
      <c r="Q30" s="43">
        <f t="shared" si="5"/>
        <v>180278.56376560871</v>
      </c>
      <c r="R30" s="43">
        <f t="shared" si="5"/>
        <v>189292.49195388914</v>
      </c>
      <c r="S30" s="43">
        <f t="shared" si="5"/>
        <v>198757.1165515836</v>
      </c>
      <c r="T30" s="43">
        <f t="shared" si="5"/>
        <v>208694.97237916279</v>
      </c>
      <c r="U30" s="43">
        <f t="shared" si="5"/>
        <v>219129.72099812093</v>
      </c>
      <c r="V30" s="43">
        <f t="shared" si="5"/>
        <v>230086.20704802699</v>
      </c>
      <c r="W30" s="9">
        <f>SUM(C30:V30)</f>
        <v>2824093.3480085633</v>
      </c>
    </row>
    <row r="31" spans="1:23" s="29" customFormat="1" x14ac:dyDescent="0.35">
      <c r="A31" s="29" t="s">
        <v>34</v>
      </c>
      <c r="B31" s="30"/>
      <c r="C31" s="30">
        <f>(C23-C28-C29)*0.3</f>
        <v>113998.82429420098</v>
      </c>
      <c r="D31" s="30">
        <f t="shared" ref="D31:V31" si="6">(D23-D28-D29)*0.3</f>
        <v>113998.82429420098</v>
      </c>
      <c r="E31" s="30">
        <f>(E23-E28-E29-E30)*0.3</f>
        <v>83883.069294200992</v>
      </c>
      <c r="F31" s="30">
        <f t="shared" si="6"/>
        <v>113998.82429420098</v>
      </c>
      <c r="G31" s="30">
        <f t="shared" si="6"/>
        <v>113998.82429420098</v>
      </c>
      <c r="H31" s="30">
        <f t="shared" si="6"/>
        <v>128248.67733097616</v>
      </c>
      <c r="I31" s="30">
        <f t="shared" si="6"/>
        <v>284997.06073550251</v>
      </c>
      <c r="J31" s="30">
        <f t="shared" si="6"/>
        <v>284997.06073550251</v>
      </c>
      <c r="K31" s="30">
        <f t="shared" si="6"/>
        <v>284997.06073550251</v>
      </c>
      <c r="L31" s="30">
        <f t="shared" si="6"/>
        <v>284997.06073550251</v>
      </c>
      <c r="M31" s="30">
        <f t="shared" si="6"/>
        <v>284997.06073550251</v>
      </c>
      <c r="N31" s="30">
        <f t="shared" si="6"/>
        <v>284997.06073550251</v>
      </c>
      <c r="O31" s="30">
        <f t="shared" si="6"/>
        <v>284997.06073550251</v>
      </c>
      <c r="P31" s="30">
        <f t="shared" si="6"/>
        <v>284997.06073550251</v>
      </c>
      <c r="Q31" s="30">
        <f t="shared" si="6"/>
        <v>284997.06073550251</v>
      </c>
      <c r="R31" s="30">
        <f t="shared" si="6"/>
        <v>284997.06073550251</v>
      </c>
      <c r="S31" s="30">
        <f t="shared" si="6"/>
        <v>284997.06073550251</v>
      </c>
      <c r="T31" s="30">
        <f t="shared" si="6"/>
        <v>284997.06073550251</v>
      </c>
      <c r="U31" s="30">
        <f t="shared" si="6"/>
        <v>284997.06073550251</v>
      </c>
      <c r="V31" s="30">
        <f t="shared" si="6"/>
        <v>284997.06073550251</v>
      </c>
      <c r="W31" s="9">
        <f>SUM(C31:V31)</f>
        <v>4658085.8940990148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265997.25668646896</v>
      </c>
      <c r="D32" s="26">
        <f t="shared" ref="D32:E32" si="7">D23-D28-D29-D30-D31</f>
        <v>265997.25668646896</v>
      </c>
      <c r="E32" s="26">
        <f t="shared" si="7"/>
        <v>195727.16168646899</v>
      </c>
      <c r="F32" s="26">
        <f>F23-F28-F29-F30-F31</f>
        <v>160592.11418646894</v>
      </c>
      <c r="G32" s="26">
        <f t="shared" ref="G32:O32" si="8">G23-G28-G29-G30-G31</f>
        <v>155321.85706146894</v>
      </c>
      <c r="H32" s="26">
        <f t="shared" si="8"/>
        <v>183037.7441660277</v>
      </c>
      <c r="I32" s="26">
        <f t="shared" si="8"/>
        <v>542973.51362961007</v>
      </c>
      <c r="J32" s="26">
        <f t="shared" si="8"/>
        <v>536872.53222528193</v>
      </c>
      <c r="K32" s="26">
        <f t="shared" si="8"/>
        <v>530466.50175073743</v>
      </c>
      <c r="L32" s="26">
        <f t="shared" si="8"/>
        <v>523740.16975246556</v>
      </c>
      <c r="M32" s="26">
        <f t="shared" si="8"/>
        <v>516677.52115428029</v>
      </c>
      <c r="N32" s="26">
        <f t="shared" si="8"/>
        <v>509261.74012618558</v>
      </c>
      <c r="O32" s="26">
        <f t="shared" si="8"/>
        <v>501475.17004668619</v>
      </c>
      <c r="P32" s="26">
        <f>P23-P28-P29-P30-P31</f>
        <v>493299.27146321186</v>
      </c>
      <c r="Q32" s="26">
        <f t="shared" ref="Q32:V32" si="9">Q23-Q28-Q29-Q30-Q31</f>
        <v>484714.57795056386</v>
      </c>
      <c r="R32" s="26">
        <f t="shared" si="9"/>
        <v>475700.64976228343</v>
      </c>
      <c r="S32" s="26">
        <f t="shared" si="9"/>
        <v>466236.02516458894</v>
      </c>
      <c r="T32" s="26">
        <f t="shared" si="9"/>
        <v>456298.16933700978</v>
      </c>
      <c r="U32" s="26">
        <f t="shared" si="9"/>
        <v>445863.42071805161</v>
      </c>
      <c r="V32" s="26">
        <f t="shared" si="9"/>
        <v>434906.93466814561</v>
      </c>
      <c r="W32" s="9">
        <f>SUM(C32:V32)</f>
        <v>8145159.5882224739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4436250.001198289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0.10845710716957746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4525736.5702795852</v>
      </c>
      <c r="C45" s="18">
        <f>B45/B26</f>
        <v>0.45083411360063047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8"/>
  <sheetViews>
    <sheetView topLeftCell="A21" zoomScale="99" zoomScaleNormal="99" workbookViewId="0">
      <selection activeCell="C32" sqref="C32"/>
    </sheetView>
  </sheetViews>
  <sheetFormatPr defaultRowHeight="14.5" x14ac:dyDescent="0.35"/>
  <cols>
    <col min="1" max="1" width="60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66</v>
      </c>
      <c r="B13" s="3">
        <v>12863054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3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-12863054</v>
      </c>
      <c r="C29" s="33">
        <f>C23*0.8</f>
        <v>1817839.8379034884</v>
      </c>
      <c r="D29" s="33">
        <f t="shared" ref="D29:G29" si="3">D23*0.8</f>
        <v>1817839.8379034884</v>
      </c>
      <c r="E29" s="33">
        <f t="shared" si="3"/>
        <v>1817839.8379034884</v>
      </c>
      <c r="F29" s="33">
        <f t="shared" si="3"/>
        <v>1817839.8379034884</v>
      </c>
      <c r="G29" s="33">
        <f t="shared" si="3"/>
        <v>1817839.8379034884</v>
      </c>
      <c r="H29" s="33">
        <f>(H23*0.8*11/12)+(H23*0.5*1/12)</f>
        <v>1761032.3429690045</v>
      </c>
      <c r="I29" s="33">
        <f>I23*0.5</f>
        <v>1136149.8986896803</v>
      </c>
      <c r="J29" s="33">
        <f t="shared" ref="J29:V29" si="4">J23*0.5</f>
        <v>1136149.8986896803</v>
      </c>
      <c r="K29" s="33">
        <f t="shared" si="4"/>
        <v>1136149.8986896803</v>
      </c>
      <c r="L29" s="33">
        <f t="shared" si="4"/>
        <v>1136149.8986896803</v>
      </c>
      <c r="M29" s="33">
        <f t="shared" si="4"/>
        <v>1136149.8986896803</v>
      </c>
      <c r="N29" s="33">
        <f t="shared" si="4"/>
        <v>1136149.8986896803</v>
      </c>
      <c r="O29" s="33">
        <f t="shared" si="4"/>
        <v>1136149.8986896803</v>
      </c>
      <c r="P29" s="33">
        <f t="shared" si="4"/>
        <v>1136149.8986896803</v>
      </c>
      <c r="Q29" s="33">
        <f t="shared" si="4"/>
        <v>1136149.8986896803</v>
      </c>
      <c r="R29" s="33">
        <f t="shared" si="4"/>
        <v>1136149.8986896803</v>
      </c>
      <c r="S29" s="33">
        <f t="shared" si="4"/>
        <v>1136149.8986896803</v>
      </c>
      <c r="T29" s="33">
        <f t="shared" si="4"/>
        <v>1136149.8986896803</v>
      </c>
      <c r="U29" s="33">
        <f t="shared" si="4"/>
        <v>1136149.8986896803</v>
      </c>
      <c r="V29" s="33">
        <f t="shared" si="4"/>
        <v>1136149.8986896803</v>
      </c>
      <c r="W29" s="34">
        <f>SUM(B29:V29)</f>
        <v>13893276.114141967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128630.54</v>
      </c>
      <c r="F30" s="43">
        <f>E30*1.05</f>
        <v>135062.06700000001</v>
      </c>
      <c r="G30" s="43">
        <f t="shared" ref="G30:V30" si="5">F30*1.05</f>
        <v>141815.17035000003</v>
      </c>
      <c r="H30" s="43">
        <f t="shared" si="5"/>
        <v>148905.92886750004</v>
      </c>
      <c r="I30" s="43">
        <f t="shared" si="5"/>
        <v>156351.22531087504</v>
      </c>
      <c r="J30" s="43">
        <f t="shared" si="5"/>
        <v>164168.78657641882</v>
      </c>
      <c r="K30" s="43">
        <f t="shared" si="5"/>
        <v>172377.22590523976</v>
      </c>
      <c r="L30" s="43">
        <f t="shared" si="5"/>
        <v>180996.08720050176</v>
      </c>
      <c r="M30" s="43">
        <f t="shared" si="5"/>
        <v>190045.89156052686</v>
      </c>
      <c r="N30" s="43">
        <f t="shared" si="5"/>
        <v>199548.1861385532</v>
      </c>
      <c r="O30" s="43">
        <f t="shared" si="5"/>
        <v>209525.59544548087</v>
      </c>
      <c r="P30" s="43">
        <f t="shared" si="5"/>
        <v>220001.87521775492</v>
      </c>
      <c r="Q30" s="43">
        <f t="shared" si="5"/>
        <v>231001.96897864266</v>
      </c>
      <c r="R30" s="43">
        <f t="shared" si="5"/>
        <v>242552.0674275748</v>
      </c>
      <c r="S30" s="43">
        <f t="shared" si="5"/>
        <v>254679.67079895356</v>
      </c>
      <c r="T30" s="43">
        <f t="shared" si="5"/>
        <v>267413.65433890128</v>
      </c>
      <c r="U30" s="43">
        <f t="shared" si="5"/>
        <v>280784.33705584635</v>
      </c>
      <c r="V30" s="43">
        <f t="shared" si="5"/>
        <v>294823.55390863866</v>
      </c>
      <c r="W30" s="9">
        <f>SUM(C30:V30)</f>
        <v>3618683.8320814082</v>
      </c>
    </row>
    <row r="31" spans="1:23" s="29" customFormat="1" x14ac:dyDescent="0.35">
      <c r="A31" s="29" t="s">
        <v>34</v>
      </c>
      <c r="B31" s="30"/>
      <c r="C31" s="30">
        <f>(C23-C28-C29)*0.3</f>
        <v>136337.98784276162</v>
      </c>
      <c r="D31" s="30">
        <f t="shared" ref="D31:V31" si="6">(D23-D28-D29)*0.3</f>
        <v>136337.98784276162</v>
      </c>
      <c r="E31" s="30">
        <f>(E23-E28-E29-E30)*0.3</f>
        <v>97748.825842761638</v>
      </c>
      <c r="F31" s="30">
        <f t="shared" si="6"/>
        <v>136337.98784276162</v>
      </c>
      <c r="G31" s="30">
        <f t="shared" si="6"/>
        <v>136337.98784276162</v>
      </c>
      <c r="H31" s="30">
        <f t="shared" si="6"/>
        <v>153380.2363231068</v>
      </c>
      <c r="I31" s="30">
        <f t="shared" si="6"/>
        <v>340844.96960690408</v>
      </c>
      <c r="J31" s="30">
        <f t="shared" si="6"/>
        <v>340844.96960690408</v>
      </c>
      <c r="K31" s="30">
        <f t="shared" si="6"/>
        <v>340844.96960690408</v>
      </c>
      <c r="L31" s="30">
        <f t="shared" si="6"/>
        <v>340844.96960690408</v>
      </c>
      <c r="M31" s="30">
        <f t="shared" si="6"/>
        <v>340844.96960690408</v>
      </c>
      <c r="N31" s="30">
        <f t="shared" si="6"/>
        <v>340844.96960690408</v>
      </c>
      <c r="O31" s="30">
        <f t="shared" si="6"/>
        <v>340844.96960690408</v>
      </c>
      <c r="P31" s="30">
        <f t="shared" si="6"/>
        <v>340844.96960690408</v>
      </c>
      <c r="Q31" s="30">
        <f t="shared" si="6"/>
        <v>340844.96960690408</v>
      </c>
      <c r="R31" s="30">
        <f t="shared" si="6"/>
        <v>340844.96960690408</v>
      </c>
      <c r="S31" s="30">
        <f t="shared" si="6"/>
        <v>340844.96960690408</v>
      </c>
      <c r="T31" s="30">
        <f t="shared" si="6"/>
        <v>340844.96960690408</v>
      </c>
      <c r="U31" s="30">
        <f t="shared" si="6"/>
        <v>340844.96960690408</v>
      </c>
      <c r="V31" s="30">
        <f t="shared" si="6"/>
        <v>340844.96960690408</v>
      </c>
      <c r="W31" s="9">
        <f>SUM(C31:V31)</f>
        <v>5568310.5880335746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4489088.1976813022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9.6658298638040874E-2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5287757.7402163204</v>
      </c>
      <c r="C45" s="18">
        <f>B45/B26</f>
        <v>0.41108104966490233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8"/>
  <sheetViews>
    <sheetView topLeftCell="A22" zoomScale="99" zoomScaleNormal="99" workbookViewId="0">
      <selection activeCell="C32" sqref="C32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110.4*5</f>
        <v>552</v>
      </c>
      <c r="C4" s="1" t="s">
        <v>68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70</v>
      </c>
      <c r="B13" s="3">
        <v>2838910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614135.0803728</v>
      </c>
      <c r="D23" s="6">
        <f t="shared" ref="D23:V23" si="0">((($B$4*$B$7*$F$7)-((($B$4*$B$7*$F$7)*10%))+((($B$4*$B$9)*$F$9)+((($B$4*$B$7)*$F$9)*10%))))</f>
        <v>614135.0803728</v>
      </c>
      <c r="E23" s="6">
        <f t="shared" si="0"/>
        <v>614135.0803728</v>
      </c>
      <c r="F23" s="6">
        <f t="shared" si="0"/>
        <v>614135.0803728</v>
      </c>
      <c r="G23" s="6">
        <f t="shared" si="0"/>
        <v>614135.0803728</v>
      </c>
      <c r="H23" s="6">
        <f t="shared" si="0"/>
        <v>614135.0803728</v>
      </c>
      <c r="I23" s="6">
        <f t="shared" si="0"/>
        <v>614135.0803728</v>
      </c>
      <c r="J23" s="6">
        <f t="shared" si="0"/>
        <v>614135.0803728</v>
      </c>
      <c r="K23" s="6">
        <f t="shared" si="0"/>
        <v>614135.0803728</v>
      </c>
      <c r="L23" s="6">
        <f t="shared" si="0"/>
        <v>614135.0803728</v>
      </c>
      <c r="M23" s="6">
        <f t="shared" si="0"/>
        <v>614135.0803728</v>
      </c>
      <c r="N23" s="6">
        <f t="shared" si="0"/>
        <v>614135.0803728</v>
      </c>
      <c r="O23" s="6">
        <f t="shared" si="0"/>
        <v>614135.0803728</v>
      </c>
      <c r="P23" s="6">
        <f t="shared" si="0"/>
        <v>614135.0803728</v>
      </c>
      <c r="Q23" s="6">
        <f t="shared" si="0"/>
        <v>614135.0803728</v>
      </c>
      <c r="R23" s="6">
        <f t="shared" si="0"/>
        <v>614135.0803728</v>
      </c>
      <c r="S23" s="6">
        <f t="shared" si="0"/>
        <v>614135.0803728</v>
      </c>
      <c r="T23" s="6">
        <f t="shared" si="0"/>
        <v>614135.0803728</v>
      </c>
      <c r="U23" s="6">
        <f t="shared" si="0"/>
        <v>614135.0803728</v>
      </c>
      <c r="V23" s="6">
        <f t="shared" si="0"/>
        <v>614135.0803728</v>
      </c>
      <c r="W23" s="9">
        <f>SUM(B23:V23)</f>
        <v>12282701.607455995</v>
      </c>
    </row>
    <row r="24" spans="1:23" s="4" customFormat="1" x14ac:dyDescent="0.35">
      <c r="A24" s="5" t="s">
        <v>29</v>
      </c>
      <c r="B24" s="6">
        <f>B13</f>
        <v>2838910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2838910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2838910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-2838910</v>
      </c>
      <c r="C29" s="33">
        <f>C23*0.8</f>
        <v>491308.06429824</v>
      </c>
      <c r="D29" s="33">
        <f t="shared" ref="D29:G29" si="3">D23*0.8</f>
        <v>491308.06429824</v>
      </c>
      <c r="E29" s="33">
        <f t="shared" si="3"/>
        <v>491308.06429824</v>
      </c>
      <c r="F29" s="33">
        <f t="shared" si="3"/>
        <v>491308.06429824</v>
      </c>
      <c r="G29" s="33">
        <f t="shared" si="3"/>
        <v>491308.06429824</v>
      </c>
      <c r="H29" s="33">
        <f>(H23*0.8*11/12)+(H23*0.5*1/12)</f>
        <v>475954.68728891999</v>
      </c>
      <c r="I29" s="33">
        <f>I23*0.5</f>
        <v>307067.5401864</v>
      </c>
      <c r="J29" s="33">
        <f t="shared" ref="J29:V29" si="4">J23*0.5</f>
        <v>307067.5401864</v>
      </c>
      <c r="K29" s="33">
        <f t="shared" si="4"/>
        <v>307067.5401864</v>
      </c>
      <c r="L29" s="33">
        <f t="shared" si="4"/>
        <v>307067.5401864</v>
      </c>
      <c r="M29" s="33">
        <f t="shared" si="4"/>
        <v>307067.5401864</v>
      </c>
      <c r="N29" s="33">
        <f t="shared" si="4"/>
        <v>307067.5401864</v>
      </c>
      <c r="O29" s="33">
        <f t="shared" si="4"/>
        <v>307067.5401864</v>
      </c>
      <c r="P29" s="33">
        <f t="shared" si="4"/>
        <v>307067.5401864</v>
      </c>
      <c r="Q29" s="33">
        <f t="shared" si="4"/>
        <v>307067.5401864</v>
      </c>
      <c r="R29" s="33">
        <f t="shared" si="4"/>
        <v>307067.5401864</v>
      </c>
      <c r="S29" s="33">
        <f t="shared" si="4"/>
        <v>307067.5401864</v>
      </c>
      <c r="T29" s="33">
        <f t="shared" si="4"/>
        <v>307067.5401864</v>
      </c>
      <c r="U29" s="33">
        <f t="shared" si="4"/>
        <v>307067.5401864</v>
      </c>
      <c r="V29" s="33">
        <f t="shared" si="4"/>
        <v>307067.5401864</v>
      </c>
      <c r="W29" s="34">
        <f>SUM(B29:V29)</f>
        <v>4392530.5713897208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28389.1</v>
      </c>
      <c r="F30" s="43">
        <f>E30*1.05</f>
        <v>29808.555</v>
      </c>
      <c r="G30" s="43">
        <f t="shared" ref="G30:V30" si="5">F30*1.05</f>
        <v>31298.982750000003</v>
      </c>
      <c r="H30" s="43">
        <f t="shared" si="5"/>
        <v>32863.931887500003</v>
      </c>
      <c r="I30" s="43">
        <f t="shared" si="5"/>
        <v>34507.128481875006</v>
      </c>
      <c r="J30" s="43">
        <f t="shared" si="5"/>
        <v>36232.484905968755</v>
      </c>
      <c r="K30" s="43">
        <f t="shared" si="5"/>
        <v>38044.109151267192</v>
      </c>
      <c r="L30" s="43">
        <f t="shared" si="5"/>
        <v>39946.314608830551</v>
      </c>
      <c r="M30" s="43">
        <f t="shared" si="5"/>
        <v>41943.63033927208</v>
      </c>
      <c r="N30" s="43">
        <f t="shared" si="5"/>
        <v>44040.811856235683</v>
      </c>
      <c r="O30" s="43">
        <f t="shared" si="5"/>
        <v>46242.852449047467</v>
      </c>
      <c r="P30" s="43">
        <f t="shared" si="5"/>
        <v>48554.995071499841</v>
      </c>
      <c r="Q30" s="43">
        <f t="shared" si="5"/>
        <v>50982.744825074835</v>
      </c>
      <c r="R30" s="43">
        <f t="shared" si="5"/>
        <v>53531.882066328581</v>
      </c>
      <c r="S30" s="43">
        <f t="shared" si="5"/>
        <v>56208.476169645015</v>
      </c>
      <c r="T30" s="43">
        <f t="shared" si="5"/>
        <v>59018.899978127265</v>
      </c>
      <c r="U30" s="43">
        <f t="shared" si="5"/>
        <v>61969.84497703363</v>
      </c>
      <c r="V30" s="43">
        <f t="shared" si="5"/>
        <v>65068.337225885312</v>
      </c>
      <c r="W30" s="9">
        <f>SUM(C30:V30)</f>
        <v>798653.08174359123</v>
      </c>
    </row>
    <row r="31" spans="1:23" s="29" customFormat="1" x14ac:dyDescent="0.35">
      <c r="A31" s="29" t="s">
        <v>34</v>
      </c>
      <c r="B31" s="30"/>
      <c r="C31" s="30">
        <f>(C23-C28-C29)*0.3</f>
        <v>36848.104822367997</v>
      </c>
      <c r="D31" s="30">
        <f t="shared" ref="D31:V31" si="6">(D23-D28-D29)*0.3</f>
        <v>36848.104822367997</v>
      </c>
      <c r="E31" s="30">
        <f>(E23-E28-E29-E30)*0.3</f>
        <v>28331.374822367998</v>
      </c>
      <c r="F31" s="30">
        <f t="shared" si="6"/>
        <v>36848.104822367997</v>
      </c>
      <c r="G31" s="30">
        <f t="shared" si="6"/>
        <v>36848.104822367997</v>
      </c>
      <c r="H31" s="30">
        <f t="shared" si="6"/>
        <v>41454.117925164006</v>
      </c>
      <c r="I31" s="30">
        <f t="shared" si="6"/>
        <v>92120.26205592</v>
      </c>
      <c r="J31" s="30">
        <f t="shared" si="6"/>
        <v>92120.26205592</v>
      </c>
      <c r="K31" s="30">
        <f t="shared" si="6"/>
        <v>92120.26205592</v>
      </c>
      <c r="L31" s="30">
        <f t="shared" si="6"/>
        <v>92120.26205592</v>
      </c>
      <c r="M31" s="30">
        <f t="shared" si="6"/>
        <v>92120.26205592</v>
      </c>
      <c r="N31" s="30">
        <f t="shared" si="6"/>
        <v>92120.26205592</v>
      </c>
      <c r="O31" s="30">
        <f t="shared" si="6"/>
        <v>92120.26205592</v>
      </c>
      <c r="P31" s="30">
        <f t="shared" si="6"/>
        <v>92120.26205592</v>
      </c>
      <c r="Q31" s="30">
        <f t="shared" si="6"/>
        <v>92120.26205592</v>
      </c>
      <c r="R31" s="30">
        <f t="shared" si="6"/>
        <v>92120.26205592</v>
      </c>
      <c r="S31" s="30">
        <f t="shared" si="6"/>
        <v>92120.26205592</v>
      </c>
      <c r="T31" s="30">
        <f t="shared" si="6"/>
        <v>92120.26205592</v>
      </c>
      <c r="U31" s="30">
        <f t="shared" si="6"/>
        <v>92120.26205592</v>
      </c>
      <c r="V31" s="30">
        <f t="shared" si="6"/>
        <v>92120.26205592</v>
      </c>
      <c r="W31" s="9">
        <f>SUM(C31:V31)</f>
        <v>1506861.5808198836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85978.911252192003</v>
      </c>
      <c r="D32" s="26">
        <f t="shared" ref="D32:E32" si="7">D23-D28-D29-D30-D31</f>
        <v>85978.911252192003</v>
      </c>
      <c r="E32" s="26">
        <f t="shared" si="7"/>
        <v>66106.541252191993</v>
      </c>
      <c r="F32" s="26">
        <f>F23-F28-F29-F30-F31</f>
        <v>56170.35625219201</v>
      </c>
      <c r="G32" s="26">
        <f t="shared" ref="G32:O32" si="8">G23-G28-G29-G30-G31</f>
        <v>54679.928502192008</v>
      </c>
      <c r="H32" s="26">
        <f t="shared" si="8"/>
        <v>63862.343271216007</v>
      </c>
      <c r="I32" s="26">
        <f t="shared" si="8"/>
        <v>180440.149648605</v>
      </c>
      <c r="J32" s="26">
        <f t="shared" si="8"/>
        <v>178714.79322451123</v>
      </c>
      <c r="K32" s="26">
        <f t="shared" si="8"/>
        <v>176903.16897921279</v>
      </c>
      <c r="L32" s="26">
        <f t="shared" si="8"/>
        <v>175000.96352164945</v>
      </c>
      <c r="M32" s="26">
        <f t="shared" si="8"/>
        <v>173003.64779120791</v>
      </c>
      <c r="N32" s="26">
        <f t="shared" si="8"/>
        <v>170906.46627424433</v>
      </c>
      <c r="O32" s="26">
        <f t="shared" si="8"/>
        <v>168704.42568143253</v>
      </c>
      <c r="P32" s="26">
        <f>P23-P28-P29-P30-P31</f>
        <v>166392.28305898016</v>
      </c>
      <c r="Q32" s="26">
        <f t="shared" ref="Q32:V32" si="9">Q23-Q28-Q29-Q30-Q31</f>
        <v>163964.53330540517</v>
      </c>
      <c r="R32" s="26">
        <f t="shared" si="9"/>
        <v>161415.39606415143</v>
      </c>
      <c r="S32" s="26">
        <f t="shared" si="9"/>
        <v>158738.80196083497</v>
      </c>
      <c r="T32" s="26">
        <f t="shared" si="9"/>
        <v>155928.37815235273</v>
      </c>
      <c r="U32" s="26">
        <f t="shared" si="9"/>
        <v>152977.43315344639</v>
      </c>
      <c r="V32" s="26">
        <f t="shared" si="9"/>
        <v>149878.9409045947</v>
      </c>
      <c r="W32" s="9">
        <f>SUM(C32:V32)</f>
        <v>2745746.3735028044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1820496.6814840063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0.13320592191107639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1521968.667146961</v>
      </c>
      <c r="C45" s="18">
        <f>B45/B26</f>
        <v>0.53611022087595628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8"/>
  <sheetViews>
    <sheetView topLeftCell="A20" zoomScale="99" zoomScaleNormal="99" workbookViewId="0">
      <selection activeCell="C32" sqref="C32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71</v>
      </c>
      <c r="B13" s="3">
        <v>12863054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3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-12863054</v>
      </c>
      <c r="C29" s="33">
        <f>C23*0.8</f>
        <v>1817839.8379034884</v>
      </c>
      <c r="D29" s="33">
        <f t="shared" ref="D29:G29" si="3">D23*0.8</f>
        <v>1817839.8379034884</v>
      </c>
      <c r="E29" s="33">
        <f t="shared" si="3"/>
        <v>1817839.8379034884</v>
      </c>
      <c r="F29" s="33">
        <f t="shared" si="3"/>
        <v>1817839.8379034884</v>
      </c>
      <c r="G29" s="33">
        <f t="shared" si="3"/>
        <v>1817839.8379034884</v>
      </c>
      <c r="H29" s="33">
        <f>(H23*0.8*11/12)+(H23*0.5*1/12)</f>
        <v>1761032.3429690045</v>
      </c>
      <c r="I29" s="33">
        <f>I23*0.5</f>
        <v>1136149.8986896803</v>
      </c>
      <c r="J29" s="33">
        <f t="shared" ref="J29:V29" si="4">J23*0.5</f>
        <v>1136149.8986896803</v>
      </c>
      <c r="K29" s="33">
        <f t="shared" si="4"/>
        <v>1136149.8986896803</v>
      </c>
      <c r="L29" s="33">
        <f t="shared" si="4"/>
        <v>1136149.8986896803</v>
      </c>
      <c r="M29" s="33">
        <f t="shared" si="4"/>
        <v>1136149.8986896803</v>
      </c>
      <c r="N29" s="33">
        <f t="shared" si="4"/>
        <v>1136149.8986896803</v>
      </c>
      <c r="O29" s="33">
        <f t="shared" si="4"/>
        <v>1136149.8986896803</v>
      </c>
      <c r="P29" s="33">
        <f t="shared" si="4"/>
        <v>1136149.8986896803</v>
      </c>
      <c r="Q29" s="33">
        <f t="shared" si="4"/>
        <v>1136149.8986896803</v>
      </c>
      <c r="R29" s="33">
        <f t="shared" si="4"/>
        <v>1136149.8986896803</v>
      </c>
      <c r="S29" s="33">
        <f t="shared" si="4"/>
        <v>1136149.8986896803</v>
      </c>
      <c r="T29" s="33">
        <f t="shared" si="4"/>
        <v>1136149.8986896803</v>
      </c>
      <c r="U29" s="33">
        <f t="shared" si="4"/>
        <v>1136149.8986896803</v>
      </c>
      <c r="V29" s="33">
        <f t="shared" si="4"/>
        <v>1136149.8986896803</v>
      </c>
      <c r="W29" s="34">
        <f>SUM(B29:V29)</f>
        <v>13893276.114141967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128630.54</v>
      </c>
      <c r="F30" s="43">
        <f>E30*1.05</f>
        <v>135062.06700000001</v>
      </c>
      <c r="G30" s="43">
        <f t="shared" ref="G30:V30" si="5">F30*1.05</f>
        <v>141815.17035000003</v>
      </c>
      <c r="H30" s="43">
        <f t="shared" si="5"/>
        <v>148905.92886750004</v>
      </c>
      <c r="I30" s="43">
        <f t="shared" si="5"/>
        <v>156351.22531087504</v>
      </c>
      <c r="J30" s="43">
        <f t="shared" si="5"/>
        <v>164168.78657641882</v>
      </c>
      <c r="K30" s="43">
        <f t="shared" si="5"/>
        <v>172377.22590523976</v>
      </c>
      <c r="L30" s="43">
        <f t="shared" si="5"/>
        <v>180996.08720050176</v>
      </c>
      <c r="M30" s="43">
        <f t="shared" si="5"/>
        <v>190045.89156052686</v>
      </c>
      <c r="N30" s="43">
        <f t="shared" si="5"/>
        <v>199548.1861385532</v>
      </c>
      <c r="O30" s="43">
        <f t="shared" si="5"/>
        <v>209525.59544548087</v>
      </c>
      <c r="P30" s="43">
        <f t="shared" si="5"/>
        <v>220001.87521775492</v>
      </c>
      <c r="Q30" s="43">
        <f t="shared" si="5"/>
        <v>231001.96897864266</v>
      </c>
      <c r="R30" s="43">
        <f t="shared" si="5"/>
        <v>242552.0674275748</v>
      </c>
      <c r="S30" s="43">
        <f t="shared" si="5"/>
        <v>254679.67079895356</v>
      </c>
      <c r="T30" s="43">
        <f t="shared" si="5"/>
        <v>267413.65433890128</v>
      </c>
      <c r="U30" s="43">
        <f t="shared" si="5"/>
        <v>280784.33705584635</v>
      </c>
      <c r="V30" s="43">
        <f t="shared" si="5"/>
        <v>294823.55390863866</v>
      </c>
      <c r="W30" s="9">
        <f>SUM(C30:V30)</f>
        <v>3618683.8320814082</v>
      </c>
    </row>
    <row r="31" spans="1:23" s="29" customFormat="1" x14ac:dyDescent="0.35">
      <c r="A31" s="29" t="s">
        <v>34</v>
      </c>
      <c r="B31" s="30"/>
      <c r="C31" s="30">
        <f>(C23-C28-C29)*0.3</f>
        <v>136337.98784276162</v>
      </c>
      <c r="D31" s="30">
        <f t="shared" ref="D31:V31" si="6">(D23-D28-D29)*0.3</f>
        <v>136337.98784276162</v>
      </c>
      <c r="E31" s="30">
        <f>(E23-E28-E29-E30)*0.3</f>
        <v>97748.825842761638</v>
      </c>
      <c r="F31" s="30">
        <f t="shared" si="6"/>
        <v>136337.98784276162</v>
      </c>
      <c r="G31" s="30">
        <f t="shared" si="6"/>
        <v>136337.98784276162</v>
      </c>
      <c r="H31" s="30">
        <f t="shared" si="6"/>
        <v>153380.2363231068</v>
      </c>
      <c r="I31" s="30">
        <f t="shared" si="6"/>
        <v>340844.96960690408</v>
      </c>
      <c r="J31" s="30">
        <f t="shared" si="6"/>
        <v>340844.96960690408</v>
      </c>
      <c r="K31" s="30">
        <f t="shared" si="6"/>
        <v>340844.96960690408</v>
      </c>
      <c r="L31" s="30">
        <f t="shared" si="6"/>
        <v>340844.96960690408</v>
      </c>
      <c r="M31" s="30">
        <f t="shared" si="6"/>
        <v>340844.96960690408</v>
      </c>
      <c r="N31" s="30">
        <f t="shared" si="6"/>
        <v>340844.96960690408</v>
      </c>
      <c r="O31" s="30">
        <f t="shared" si="6"/>
        <v>340844.96960690408</v>
      </c>
      <c r="P31" s="30">
        <f t="shared" si="6"/>
        <v>340844.96960690408</v>
      </c>
      <c r="Q31" s="30">
        <f t="shared" si="6"/>
        <v>340844.96960690408</v>
      </c>
      <c r="R31" s="30">
        <f t="shared" si="6"/>
        <v>340844.96960690408</v>
      </c>
      <c r="S31" s="30">
        <f t="shared" si="6"/>
        <v>340844.96960690408</v>
      </c>
      <c r="T31" s="30">
        <f t="shared" si="6"/>
        <v>340844.96960690408</v>
      </c>
      <c r="U31" s="30">
        <f t="shared" si="6"/>
        <v>340844.96960690408</v>
      </c>
      <c r="V31" s="30">
        <f t="shared" si="6"/>
        <v>340844.96960690408</v>
      </c>
      <c r="W31" s="9">
        <f>SUM(C31:V31)</f>
        <v>5568310.5880335746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4489088.1976813022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9.6658298638040874E-2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5287757.7402163204</v>
      </c>
      <c r="C45" s="18">
        <f>B45/B26</f>
        <v>0.41108104966490233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8"/>
  <sheetViews>
    <sheetView topLeftCell="A21" zoomScale="99" zoomScaleNormal="99" workbookViewId="0">
      <selection activeCell="B33" sqref="B33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139.38*5</f>
        <v>696.9</v>
      </c>
      <c r="C4" s="1" t="s">
        <v>73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72</v>
      </c>
      <c r="B13" s="3">
        <v>3368224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775345.53897065995</v>
      </c>
      <c r="D23" s="6">
        <f t="shared" ref="D23:V23" si="0">((($B$4*$B$7*$F$7)-((($B$4*$B$7*$F$7)*10%))+((($B$4*$B$9)*$F$9)+((($B$4*$B$7)*$F$9)*10%))))</f>
        <v>775345.53897065995</v>
      </c>
      <c r="E23" s="6">
        <f t="shared" si="0"/>
        <v>775345.53897065995</v>
      </c>
      <c r="F23" s="6">
        <f t="shared" si="0"/>
        <v>775345.53897065995</v>
      </c>
      <c r="G23" s="6">
        <f t="shared" si="0"/>
        <v>775345.53897065995</v>
      </c>
      <c r="H23" s="6">
        <f t="shared" si="0"/>
        <v>775345.53897065995</v>
      </c>
      <c r="I23" s="6">
        <f t="shared" si="0"/>
        <v>775345.53897065995</v>
      </c>
      <c r="J23" s="6">
        <f t="shared" si="0"/>
        <v>775345.53897065995</v>
      </c>
      <c r="K23" s="6">
        <f t="shared" si="0"/>
        <v>775345.53897065995</v>
      </c>
      <c r="L23" s="6">
        <f t="shared" si="0"/>
        <v>775345.53897065995</v>
      </c>
      <c r="M23" s="6">
        <f t="shared" si="0"/>
        <v>775345.53897065995</v>
      </c>
      <c r="N23" s="6">
        <f t="shared" si="0"/>
        <v>775345.53897065995</v>
      </c>
      <c r="O23" s="6">
        <f t="shared" si="0"/>
        <v>775345.53897065995</v>
      </c>
      <c r="P23" s="6">
        <f t="shared" si="0"/>
        <v>775345.53897065995</v>
      </c>
      <c r="Q23" s="6">
        <f t="shared" si="0"/>
        <v>775345.53897065995</v>
      </c>
      <c r="R23" s="6">
        <f t="shared" si="0"/>
        <v>775345.53897065995</v>
      </c>
      <c r="S23" s="6">
        <f t="shared" si="0"/>
        <v>775345.53897065995</v>
      </c>
      <c r="T23" s="6">
        <f t="shared" si="0"/>
        <v>775345.53897065995</v>
      </c>
      <c r="U23" s="6">
        <f t="shared" si="0"/>
        <v>775345.53897065995</v>
      </c>
      <c r="V23" s="6">
        <f t="shared" si="0"/>
        <v>775345.53897065995</v>
      </c>
      <c r="W23" s="9">
        <f>SUM(B23:V23)</f>
        <v>15506910.779413205</v>
      </c>
    </row>
    <row r="24" spans="1:23" s="4" customFormat="1" x14ac:dyDescent="0.35">
      <c r="A24" s="5" t="s">
        <v>29</v>
      </c>
      <c r="B24" s="6">
        <f>B13</f>
        <v>3368224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3368224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3368224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-3368224</v>
      </c>
      <c r="C29" s="33">
        <f>C23*0.8</f>
        <v>620276.43117652799</v>
      </c>
      <c r="D29" s="33">
        <f t="shared" ref="D29:G29" si="3">D23*0.8</f>
        <v>620276.43117652799</v>
      </c>
      <c r="E29" s="33">
        <f t="shared" si="3"/>
        <v>620276.43117652799</v>
      </c>
      <c r="F29" s="33">
        <f t="shared" si="3"/>
        <v>620276.43117652799</v>
      </c>
      <c r="G29" s="33">
        <f t="shared" si="3"/>
        <v>620276.43117652799</v>
      </c>
      <c r="H29" s="33">
        <f>(H23*0.8*11/12)+(H23*0.5*1/12)</f>
        <v>600892.79270226159</v>
      </c>
      <c r="I29" s="33">
        <f>I23*0.5</f>
        <v>387672.76948532998</v>
      </c>
      <c r="J29" s="33">
        <f t="shared" ref="J29:V29" si="4">J23*0.5</f>
        <v>387672.76948532998</v>
      </c>
      <c r="K29" s="33">
        <f t="shared" si="4"/>
        <v>387672.76948532998</v>
      </c>
      <c r="L29" s="33">
        <f t="shared" si="4"/>
        <v>387672.76948532998</v>
      </c>
      <c r="M29" s="33">
        <f t="shared" si="4"/>
        <v>387672.76948532998</v>
      </c>
      <c r="N29" s="33">
        <f t="shared" si="4"/>
        <v>387672.76948532998</v>
      </c>
      <c r="O29" s="33">
        <f t="shared" si="4"/>
        <v>387672.76948532998</v>
      </c>
      <c r="P29" s="33">
        <f t="shared" si="4"/>
        <v>387672.76948532998</v>
      </c>
      <c r="Q29" s="33">
        <f t="shared" si="4"/>
        <v>387672.76948532998</v>
      </c>
      <c r="R29" s="33">
        <f t="shared" si="4"/>
        <v>387672.76948532998</v>
      </c>
      <c r="S29" s="33">
        <f t="shared" si="4"/>
        <v>387672.76948532998</v>
      </c>
      <c r="T29" s="33">
        <f t="shared" si="4"/>
        <v>387672.76948532998</v>
      </c>
      <c r="U29" s="33">
        <f t="shared" si="4"/>
        <v>387672.76948532998</v>
      </c>
      <c r="V29" s="33">
        <f t="shared" si="4"/>
        <v>387672.76948532998</v>
      </c>
      <c r="W29" s="34">
        <f>SUM(B29:V29)</f>
        <v>5761469.7213795232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33682.239999999998</v>
      </c>
      <c r="F30" s="43">
        <f>E30*1.05</f>
        <v>35366.351999999999</v>
      </c>
      <c r="G30" s="43">
        <f t="shared" ref="G30:V30" si="5">F30*1.05</f>
        <v>37134.669600000001</v>
      </c>
      <c r="H30" s="43">
        <f t="shared" si="5"/>
        <v>38991.403080000004</v>
      </c>
      <c r="I30" s="43">
        <f t="shared" si="5"/>
        <v>40940.973234000005</v>
      </c>
      <c r="J30" s="43">
        <f t="shared" si="5"/>
        <v>42988.021895700003</v>
      </c>
      <c r="K30" s="43">
        <f t="shared" si="5"/>
        <v>45137.422990485007</v>
      </c>
      <c r="L30" s="43">
        <f t="shared" si="5"/>
        <v>47394.29414000926</v>
      </c>
      <c r="M30" s="43">
        <f t="shared" si="5"/>
        <v>49764.008847009725</v>
      </c>
      <c r="N30" s="43">
        <f t="shared" si="5"/>
        <v>52252.209289360217</v>
      </c>
      <c r="O30" s="43">
        <f t="shared" si="5"/>
        <v>54864.819753828233</v>
      </c>
      <c r="P30" s="43">
        <f t="shared" si="5"/>
        <v>57608.06074151965</v>
      </c>
      <c r="Q30" s="43">
        <f t="shared" si="5"/>
        <v>60488.463778595637</v>
      </c>
      <c r="R30" s="43">
        <f t="shared" si="5"/>
        <v>63512.886967525425</v>
      </c>
      <c r="S30" s="43">
        <f t="shared" si="5"/>
        <v>66688.531315901695</v>
      </c>
      <c r="T30" s="43">
        <f t="shared" si="5"/>
        <v>70022.957881696784</v>
      </c>
      <c r="U30" s="43">
        <f t="shared" si="5"/>
        <v>73524.105775781631</v>
      </c>
      <c r="V30" s="43">
        <f t="shared" si="5"/>
        <v>77200.31106457072</v>
      </c>
      <c r="W30" s="9">
        <f>SUM(C30:V30)</f>
        <v>947561.73235598393</v>
      </c>
    </row>
    <row r="31" spans="1:23" s="29" customFormat="1" x14ac:dyDescent="0.35">
      <c r="A31" s="29" t="s">
        <v>34</v>
      </c>
      <c r="B31" s="30"/>
      <c r="C31" s="30">
        <f>(C23-C28-C29)*0.3</f>
        <v>46520.732338239592</v>
      </c>
      <c r="D31" s="30">
        <f t="shared" ref="D31:V31" si="6">(D23-D28-D29)*0.3</f>
        <v>46520.732338239592</v>
      </c>
      <c r="E31" s="30">
        <f>(E23-E28-E29-E30)*0.3</f>
        <v>36416.060338239593</v>
      </c>
      <c r="F31" s="30">
        <f t="shared" si="6"/>
        <v>46520.732338239592</v>
      </c>
      <c r="G31" s="30">
        <f t="shared" si="6"/>
        <v>46520.732338239592</v>
      </c>
      <c r="H31" s="30">
        <f t="shared" si="6"/>
        <v>52335.823880519507</v>
      </c>
      <c r="I31" s="30">
        <f t="shared" si="6"/>
        <v>116301.83084559899</v>
      </c>
      <c r="J31" s="30">
        <f t="shared" si="6"/>
        <v>116301.83084559899</v>
      </c>
      <c r="K31" s="30">
        <f t="shared" si="6"/>
        <v>116301.83084559899</v>
      </c>
      <c r="L31" s="30">
        <f t="shared" si="6"/>
        <v>116301.83084559899</v>
      </c>
      <c r="M31" s="30">
        <f t="shared" si="6"/>
        <v>116301.83084559899</v>
      </c>
      <c r="N31" s="30">
        <f t="shared" si="6"/>
        <v>116301.83084559899</v>
      </c>
      <c r="O31" s="30">
        <f t="shared" si="6"/>
        <v>116301.83084559899</v>
      </c>
      <c r="P31" s="30">
        <f t="shared" si="6"/>
        <v>116301.83084559899</v>
      </c>
      <c r="Q31" s="30">
        <f t="shared" si="6"/>
        <v>116301.83084559899</v>
      </c>
      <c r="R31" s="30">
        <f t="shared" si="6"/>
        <v>116301.83084559899</v>
      </c>
      <c r="S31" s="30">
        <f t="shared" si="6"/>
        <v>116301.83084559899</v>
      </c>
      <c r="T31" s="30">
        <f t="shared" si="6"/>
        <v>116301.83084559899</v>
      </c>
      <c r="U31" s="30">
        <f t="shared" si="6"/>
        <v>116301.83084559899</v>
      </c>
      <c r="V31" s="30">
        <f t="shared" si="6"/>
        <v>116301.83084559899</v>
      </c>
      <c r="W31" s="9">
        <f>SUM(C31:V31)</f>
        <v>1903060.4454101038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108548.37545589238</v>
      </c>
      <c r="D32" s="26">
        <f t="shared" ref="D32:E32" si="7">D23-D28-D29-D30-D31</f>
        <v>108548.37545589238</v>
      </c>
      <c r="E32" s="26">
        <f t="shared" si="7"/>
        <v>84970.807455892384</v>
      </c>
      <c r="F32" s="26">
        <f>F23-F28-F29-F30-F31</f>
        <v>73182.023455892369</v>
      </c>
      <c r="G32" s="26">
        <f t="shared" ref="G32:O32" si="8">G23-G28-G29-G30-G31</f>
        <v>71413.705855892389</v>
      </c>
      <c r="H32" s="26">
        <f t="shared" si="8"/>
        <v>83125.519307878829</v>
      </c>
      <c r="I32" s="26">
        <f t="shared" si="8"/>
        <v>230429.96540573094</v>
      </c>
      <c r="J32" s="26">
        <f t="shared" si="8"/>
        <v>228382.91674403095</v>
      </c>
      <c r="K32" s="26">
        <f t="shared" si="8"/>
        <v>226233.51564924599</v>
      </c>
      <c r="L32" s="26">
        <f t="shared" si="8"/>
        <v>223976.6444997217</v>
      </c>
      <c r="M32" s="26">
        <f t="shared" si="8"/>
        <v>221606.92979272123</v>
      </c>
      <c r="N32" s="26">
        <f t="shared" si="8"/>
        <v>219118.72935037076</v>
      </c>
      <c r="O32" s="26">
        <f t="shared" si="8"/>
        <v>216506.11888590275</v>
      </c>
      <c r="P32" s="26">
        <f>P23-P28-P29-P30-P31</f>
        <v>213762.8778982113</v>
      </c>
      <c r="Q32" s="26">
        <f t="shared" ref="Q32:V32" si="9">Q23-Q28-Q29-Q30-Q31</f>
        <v>210882.47486113536</v>
      </c>
      <c r="R32" s="26">
        <f t="shared" si="9"/>
        <v>207858.05167220556</v>
      </c>
      <c r="S32" s="26">
        <f t="shared" si="9"/>
        <v>204682.40732382931</v>
      </c>
      <c r="T32" s="26">
        <f t="shared" si="9"/>
        <v>201347.98075803422</v>
      </c>
      <c r="U32" s="26">
        <f t="shared" si="9"/>
        <v>197846.83286394936</v>
      </c>
      <c r="V32" s="26">
        <f t="shared" si="9"/>
        <v>194170.62757516024</v>
      </c>
      <c r="W32" s="9">
        <f>SUM(C32:V32)</f>
        <v>3526594.8802675903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2503995.9889449859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0.14565842675231733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1952924.4232531851</v>
      </c>
      <c r="C45" s="18">
        <f>B45/B26</f>
        <v>0.57980835694217048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8"/>
  <sheetViews>
    <sheetView topLeftCell="A23" zoomScale="99" zoomScaleNormal="99" workbookViewId="0">
      <selection activeCell="C32" sqref="C32"/>
    </sheetView>
  </sheetViews>
  <sheetFormatPr defaultRowHeight="14.5" x14ac:dyDescent="0.35"/>
  <cols>
    <col min="1" max="1" width="58.36328125" customWidth="1"/>
    <col min="2" max="2" width="15.81640625" customWidth="1"/>
    <col min="3" max="3" width="14.81640625" customWidth="1"/>
    <col min="4" max="4" width="14.54296875" customWidth="1"/>
    <col min="5" max="5" width="14.6328125" customWidth="1"/>
    <col min="6" max="19" width="14.54296875" bestFit="1" customWidth="1"/>
    <col min="20" max="22" width="14" customWidth="1"/>
    <col min="23" max="23" width="15.81640625" customWidth="1"/>
  </cols>
  <sheetData>
    <row r="1" spans="1:22" x14ac:dyDescent="0.35">
      <c r="A1" t="s">
        <v>2</v>
      </c>
      <c r="D1" s="1"/>
    </row>
    <row r="2" spans="1:22" x14ac:dyDescent="0.35">
      <c r="A2" s="35" t="s">
        <v>26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35">
      <c r="A3" s="36" t="s">
        <v>37</v>
      </c>
      <c r="D3" s="1"/>
    </row>
    <row r="4" spans="1:22" x14ac:dyDescent="0.35">
      <c r="A4" s="1" t="s">
        <v>40</v>
      </c>
      <c r="B4" s="2">
        <f>350.52*5</f>
        <v>1752.6</v>
      </c>
      <c r="C4" s="1" t="s">
        <v>75</v>
      </c>
      <c r="D4" s="1"/>
    </row>
    <row r="5" spans="1:22" x14ac:dyDescent="0.35">
      <c r="A5" s="23" t="s">
        <v>41</v>
      </c>
      <c r="B5" s="2"/>
      <c r="C5" s="1"/>
      <c r="D5" s="1"/>
    </row>
    <row r="6" spans="1:22" x14ac:dyDescent="0.35">
      <c r="A6" s="24" t="s">
        <v>42</v>
      </c>
      <c r="B6" s="2"/>
      <c r="C6" s="1"/>
      <c r="D6" s="1"/>
    </row>
    <row r="7" spans="1:22" x14ac:dyDescent="0.35">
      <c r="A7" s="3" t="s">
        <v>44</v>
      </c>
      <c r="B7" s="3">
        <v>246</v>
      </c>
      <c r="C7" s="1" t="s">
        <v>0</v>
      </c>
      <c r="D7" s="1" t="s">
        <v>1</v>
      </c>
      <c r="F7" s="31">
        <f>3.3471*1.07</f>
        <v>3.5813970000000004</v>
      </c>
      <c r="G7" t="s">
        <v>33</v>
      </c>
    </row>
    <row r="8" spans="1:22" x14ac:dyDescent="0.35">
      <c r="A8" s="24" t="s">
        <v>43</v>
      </c>
      <c r="B8" s="3"/>
      <c r="C8" s="1"/>
      <c r="D8" s="1"/>
    </row>
    <row r="9" spans="1:22" x14ac:dyDescent="0.35">
      <c r="A9" s="3" t="s">
        <v>44</v>
      </c>
      <c r="B9" s="3">
        <v>119</v>
      </c>
      <c r="C9" s="1" t="s">
        <v>0</v>
      </c>
      <c r="D9" s="1" t="s">
        <v>1</v>
      </c>
      <c r="F9" s="31">
        <f>2.0803*1.07</f>
        <v>2.225921</v>
      </c>
      <c r="G9" t="s">
        <v>33</v>
      </c>
    </row>
    <row r="10" spans="1:22" ht="22.25" customHeight="1" x14ac:dyDescent="0.35">
      <c r="A10" s="36" t="s">
        <v>59</v>
      </c>
      <c r="B10" s="3">
        <v>130000000</v>
      </c>
      <c r="C10" s="1" t="s">
        <v>33</v>
      </c>
      <c r="D10" s="1"/>
      <c r="F10" s="37"/>
    </row>
    <row r="11" spans="1:22" ht="26.4" customHeight="1" x14ac:dyDescent="0.35">
      <c r="A11" s="36"/>
      <c r="B11" s="3"/>
      <c r="C11" s="1"/>
      <c r="D11" s="1"/>
      <c r="F11" s="37"/>
    </row>
    <row r="12" spans="1:22" ht="26.4" customHeight="1" x14ac:dyDescent="0.35">
      <c r="A12" s="35" t="s">
        <v>25</v>
      </c>
      <c r="B12" s="40"/>
      <c r="C12" s="39"/>
      <c r="D12" s="39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26.4" customHeight="1" x14ac:dyDescent="0.35">
      <c r="A13" s="1" t="s">
        <v>74</v>
      </c>
      <c r="B13" s="3">
        <v>10695206</v>
      </c>
      <c r="C13" s="1" t="s">
        <v>33</v>
      </c>
      <c r="D13" s="1"/>
      <c r="F13" s="37"/>
    </row>
    <row r="14" spans="1:22" ht="26.4" customHeight="1" x14ac:dyDescent="0.35">
      <c r="A14" s="1" t="s">
        <v>60</v>
      </c>
      <c r="B14" s="3">
        <v>20000000</v>
      </c>
      <c r="C14" s="1" t="s">
        <v>33</v>
      </c>
      <c r="D14" s="1"/>
      <c r="F14" s="37"/>
    </row>
    <row r="15" spans="1:22" ht="22.75" customHeight="1" x14ac:dyDescent="0.35">
      <c r="A15" s="1" t="s">
        <v>57</v>
      </c>
      <c r="B15" s="3">
        <v>300000</v>
      </c>
      <c r="C15" s="1" t="s">
        <v>45</v>
      </c>
      <c r="D15" s="1"/>
      <c r="F15" s="37"/>
    </row>
    <row r="16" spans="1:22" ht="21" customHeight="1" x14ac:dyDescent="0.35">
      <c r="A16" s="1" t="s">
        <v>48</v>
      </c>
      <c r="B16" s="42">
        <v>0.01</v>
      </c>
      <c r="C16" s="1" t="s">
        <v>47</v>
      </c>
      <c r="D16" s="1"/>
      <c r="F16" s="37"/>
    </row>
    <row r="17" spans="1:23" x14ac:dyDescent="0.35">
      <c r="A17" s="3" t="s">
        <v>49</v>
      </c>
      <c r="B17" s="42">
        <v>0.3</v>
      </c>
      <c r="C17" s="1" t="s">
        <v>50</v>
      </c>
      <c r="D17" s="1"/>
      <c r="F17" s="37"/>
    </row>
    <row r="18" spans="1:23" x14ac:dyDescent="0.35">
      <c r="A18" s="3"/>
      <c r="B18" s="42"/>
      <c r="C18" s="1"/>
      <c r="D18" s="1"/>
      <c r="F18" s="37"/>
    </row>
    <row r="19" spans="1:23" x14ac:dyDescent="0.35">
      <c r="C19" s="1"/>
      <c r="D19" s="1"/>
    </row>
    <row r="21" spans="1:23" s="4" customFormat="1" x14ac:dyDescent="0.3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35">
      <c r="A22" t="s">
        <v>26</v>
      </c>
    </row>
    <row r="23" spans="1:23" x14ac:dyDescent="0.35">
      <c r="A23" s="5" t="s">
        <v>53</v>
      </c>
      <c r="B23" s="6">
        <v>0</v>
      </c>
      <c r="C23" s="6">
        <f>((($B$4*$B$7*$F$7)-((($B$4*$B$7*$F$7)*10%))+((($B$4*$B$9)*$F$9)+((($B$4*$B$7)*$F$9)*10%))))</f>
        <v>1949878.8801836399</v>
      </c>
      <c r="D23" s="6">
        <f t="shared" ref="D23:V23" si="0">((($B$4*$B$7*$F$7)-((($B$4*$B$7*$F$7)*10%))+((($B$4*$B$9)*$F$9)+((($B$4*$B$7)*$F$9)*10%))))</f>
        <v>1949878.8801836399</v>
      </c>
      <c r="E23" s="6">
        <f t="shared" si="0"/>
        <v>1949878.8801836399</v>
      </c>
      <c r="F23" s="6">
        <f t="shared" si="0"/>
        <v>1949878.8801836399</v>
      </c>
      <c r="G23" s="6">
        <f t="shared" si="0"/>
        <v>1949878.8801836399</v>
      </c>
      <c r="H23" s="6">
        <f t="shared" si="0"/>
        <v>1949878.8801836399</v>
      </c>
      <c r="I23" s="6">
        <f t="shared" si="0"/>
        <v>1949878.8801836399</v>
      </c>
      <c r="J23" s="6">
        <f t="shared" si="0"/>
        <v>1949878.8801836399</v>
      </c>
      <c r="K23" s="6">
        <f t="shared" si="0"/>
        <v>1949878.8801836399</v>
      </c>
      <c r="L23" s="6">
        <f t="shared" si="0"/>
        <v>1949878.8801836399</v>
      </c>
      <c r="M23" s="6">
        <f t="shared" si="0"/>
        <v>1949878.8801836399</v>
      </c>
      <c r="N23" s="6">
        <f t="shared" si="0"/>
        <v>1949878.8801836399</v>
      </c>
      <c r="O23" s="6">
        <f t="shared" si="0"/>
        <v>1949878.8801836399</v>
      </c>
      <c r="P23" s="6">
        <f t="shared" si="0"/>
        <v>1949878.8801836399</v>
      </c>
      <c r="Q23" s="6">
        <f t="shared" si="0"/>
        <v>1949878.8801836399</v>
      </c>
      <c r="R23" s="6">
        <f t="shared" si="0"/>
        <v>1949878.8801836399</v>
      </c>
      <c r="S23" s="6">
        <f t="shared" si="0"/>
        <v>1949878.8801836399</v>
      </c>
      <c r="T23" s="6">
        <f t="shared" si="0"/>
        <v>1949878.8801836399</v>
      </c>
      <c r="U23" s="6">
        <f t="shared" si="0"/>
        <v>1949878.8801836399</v>
      </c>
      <c r="V23" s="6">
        <f t="shared" si="0"/>
        <v>1949878.8801836399</v>
      </c>
      <c r="W23" s="9">
        <f>SUM(B23:V23)</f>
        <v>38997577.603672802</v>
      </c>
    </row>
    <row r="24" spans="1:23" s="4" customFormat="1" x14ac:dyDescent="0.35">
      <c r="A24" s="5" t="s">
        <v>29</v>
      </c>
      <c r="B24" s="6">
        <f>B13</f>
        <v>10695206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10695206</v>
      </c>
    </row>
    <row r="25" spans="1:23" x14ac:dyDescent="0.35">
      <c r="A25" t="s">
        <v>25</v>
      </c>
      <c r="W25" s="9">
        <f t="shared" si="1"/>
        <v>0</v>
      </c>
    </row>
    <row r="26" spans="1:23" s="5" customFormat="1" x14ac:dyDescent="0.35">
      <c r="A26" s="5" t="s">
        <v>69</v>
      </c>
      <c r="B26" s="10">
        <f>B13</f>
        <v>10695206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3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3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2" customFormat="1" x14ac:dyDescent="0.35">
      <c r="A29" s="32" t="s">
        <v>62</v>
      </c>
      <c r="B29" s="45">
        <f>-B13</f>
        <v>-10695206</v>
      </c>
      <c r="C29" s="33">
        <f>C23*0.8</f>
        <v>1559903.104146912</v>
      </c>
      <c r="D29" s="33">
        <f t="shared" ref="D29:G29" si="3">D23*0.8</f>
        <v>1559903.104146912</v>
      </c>
      <c r="E29" s="33">
        <f t="shared" si="3"/>
        <v>1559903.104146912</v>
      </c>
      <c r="F29" s="33">
        <f t="shared" si="3"/>
        <v>1559903.104146912</v>
      </c>
      <c r="G29" s="33">
        <f t="shared" si="3"/>
        <v>1559903.104146912</v>
      </c>
      <c r="H29" s="33">
        <f>(H23*0.8*11/12)+(H23*0.5*1/12)</f>
        <v>1511156.1321423212</v>
      </c>
      <c r="I29" s="33">
        <f>I23*0.5</f>
        <v>974939.44009181997</v>
      </c>
      <c r="J29" s="33">
        <f t="shared" ref="J29:V29" si="4">J23*0.5</f>
        <v>974939.44009181997</v>
      </c>
      <c r="K29" s="33">
        <f t="shared" si="4"/>
        <v>974939.44009181997</v>
      </c>
      <c r="L29" s="33">
        <f t="shared" si="4"/>
        <v>974939.44009181997</v>
      </c>
      <c r="M29" s="33">
        <f t="shared" si="4"/>
        <v>974939.44009181997</v>
      </c>
      <c r="N29" s="33">
        <f t="shared" si="4"/>
        <v>974939.44009181997</v>
      </c>
      <c r="O29" s="33">
        <f t="shared" si="4"/>
        <v>974939.44009181997</v>
      </c>
      <c r="P29" s="33">
        <f t="shared" si="4"/>
        <v>974939.44009181997</v>
      </c>
      <c r="Q29" s="33">
        <f t="shared" si="4"/>
        <v>974939.44009181997</v>
      </c>
      <c r="R29" s="33">
        <f t="shared" si="4"/>
        <v>974939.44009181997</v>
      </c>
      <c r="S29" s="33">
        <f t="shared" si="4"/>
        <v>974939.44009181997</v>
      </c>
      <c r="T29" s="33">
        <f t="shared" si="4"/>
        <v>974939.44009181997</v>
      </c>
      <c r="U29" s="33">
        <f t="shared" si="4"/>
        <v>974939.44009181997</v>
      </c>
      <c r="V29" s="33">
        <f t="shared" si="4"/>
        <v>974939.44009181997</v>
      </c>
      <c r="W29" s="34">
        <f>SUM(B29:V29)</f>
        <v>12264617.814162364</v>
      </c>
    </row>
    <row r="30" spans="1:23" s="5" customFormat="1" x14ac:dyDescent="0.35">
      <c r="A30" s="5" t="s">
        <v>46</v>
      </c>
      <c r="B30" s="10">
        <v>0</v>
      </c>
      <c r="C30" s="8">
        <v>0</v>
      </c>
      <c r="D30" s="8">
        <v>0</v>
      </c>
      <c r="E30" s="43">
        <f>B24*1/100</f>
        <v>106952.06</v>
      </c>
      <c r="F30" s="43">
        <f>E30*1.05</f>
        <v>112299.663</v>
      </c>
      <c r="G30" s="43">
        <f t="shared" ref="G30:V30" si="5">F30*1.05</f>
        <v>117914.64615</v>
      </c>
      <c r="H30" s="43">
        <f t="shared" si="5"/>
        <v>123810.3784575</v>
      </c>
      <c r="I30" s="43">
        <f t="shared" si="5"/>
        <v>130000.89738037501</v>
      </c>
      <c r="J30" s="43">
        <f t="shared" si="5"/>
        <v>136500.94224939376</v>
      </c>
      <c r="K30" s="43">
        <f t="shared" si="5"/>
        <v>143325.98936186347</v>
      </c>
      <c r="L30" s="43">
        <f t="shared" si="5"/>
        <v>150492.28882995664</v>
      </c>
      <c r="M30" s="43">
        <f t="shared" si="5"/>
        <v>158016.90327145447</v>
      </c>
      <c r="N30" s="43">
        <f t="shared" si="5"/>
        <v>165917.7484350272</v>
      </c>
      <c r="O30" s="43">
        <f t="shared" si="5"/>
        <v>174213.63585677856</v>
      </c>
      <c r="P30" s="43">
        <f t="shared" si="5"/>
        <v>182924.3176496175</v>
      </c>
      <c r="Q30" s="43">
        <f t="shared" si="5"/>
        <v>192070.53353209837</v>
      </c>
      <c r="R30" s="43">
        <f t="shared" si="5"/>
        <v>201674.0602087033</v>
      </c>
      <c r="S30" s="43">
        <f t="shared" si="5"/>
        <v>211757.76321913849</v>
      </c>
      <c r="T30" s="43">
        <f t="shared" si="5"/>
        <v>222345.65138009543</v>
      </c>
      <c r="U30" s="43">
        <f t="shared" si="5"/>
        <v>233462.9339491002</v>
      </c>
      <c r="V30" s="43">
        <f t="shared" si="5"/>
        <v>245136.08064655523</v>
      </c>
      <c r="W30" s="9">
        <f>SUM(C30:V30)</f>
        <v>3008816.4935776582</v>
      </c>
    </row>
    <row r="31" spans="1:23" s="29" customFormat="1" x14ac:dyDescent="0.35">
      <c r="A31" s="29" t="s">
        <v>34</v>
      </c>
      <c r="B31" s="30"/>
      <c r="C31" s="30">
        <f>(C23-C28-C29)*0.3</f>
        <v>116992.73281101837</v>
      </c>
      <c r="D31" s="30">
        <f t="shared" ref="D31:V31" si="6">(D23-D28-D29)*0.3</f>
        <v>116992.73281101837</v>
      </c>
      <c r="E31" s="30">
        <f>(E23-E28-E29-E30)*0.3</f>
        <v>84907.114811018386</v>
      </c>
      <c r="F31" s="30">
        <f t="shared" si="6"/>
        <v>116992.73281101837</v>
      </c>
      <c r="G31" s="30">
        <f t="shared" si="6"/>
        <v>116992.73281101837</v>
      </c>
      <c r="H31" s="30">
        <f t="shared" si="6"/>
        <v>131616.82441239562</v>
      </c>
      <c r="I31" s="30">
        <f t="shared" si="6"/>
        <v>292481.83202754596</v>
      </c>
      <c r="J31" s="30">
        <f t="shared" si="6"/>
        <v>292481.83202754596</v>
      </c>
      <c r="K31" s="30">
        <f t="shared" si="6"/>
        <v>292481.83202754596</v>
      </c>
      <c r="L31" s="30">
        <f t="shared" si="6"/>
        <v>292481.83202754596</v>
      </c>
      <c r="M31" s="30">
        <f t="shared" si="6"/>
        <v>292481.83202754596</v>
      </c>
      <c r="N31" s="30">
        <f t="shared" si="6"/>
        <v>292481.83202754596</v>
      </c>
      <c r="O31" s="30">
        <f t="shared" si="6"/>
        <v>292481.83202754596</v>
      </c>
      <c r="P31" s="30">
        <f t="shared" si="6"/>
        <v>292481.83202754596</v>
      </c>
      <c r="Q31" s="30">
        <f t="shared" si="6"/>
        <v>292481.83202754596</v>
      </c>
      <c r="R31" s="30">
        <f t="shared" si="6"/>
        <v>292481.83202754596</v>
      </c>
      <c r="S31" s="30">
        <f t="shared" si="6"/>
        <v>292481.83202754596</v>
      </c>
      <c r="T31" s="30">
        <f t="shared" si="6"/>
        <v>292481.83202754596</v>
      </c>
      <c r="U31" s="30">
        <f t="shared" si="6"/>
        <v>292481.83202754596</v>
      </c>
      <c r="V31" s="30">
        <f t="shared" si="6"/>
        <v>292481.83202754596</v>
      </c>
      <c r="W31" s="9">
        <f>SUM(C31:V31)</f>
        <v>4779240.5188531317</v>
      </c>
    </row>
    <row r="32" spans="1:23" s="5" customFormat="1" x14ac:dyDescent="0.35">
      <c r="A32" s="25" t="s">
        <v>36</v>
      </c>
      <c r="B32" s="44">
        <f>-B27</f>
        <v>0</v>
      </c>
      <c r="C32" s="26">
        <f>C23-C28-C29-C30-C31</f>
        <v>272983.04322570958</v>
      </c>
      <c r="D32" s="26">
        <f t="shared" ref="D32:E32" si="7">D23-D28-D29-D30-D31</f>
        <v>272983.04322570958</v>
      </c>
      <c r="E32" s="26">
        <f t="shared" si="7"/>
        <v>198116.60122570954</v>
      </c>
      <c r="F32" s="26">
        <f>F23-F28-F29-F30-F31</f>
        <v>160683.38022570958</v>
      </c>
      <c r="G32" s="26">
        <f t="shared" ref="G32:O32" si="8">G23-G28-G29-G30-G31</f>
        <v>155068.3970757096</v>
      </c>
      <c r="H32" s="26">
        <f t="shared" si="8"/>
        <v>183295.54517142309</v>
      </c>
      <c r="I32" s="26">
        <f t="shared" si="8"/>
        <v>552456.710683899</v>
      </c>
      <c r="J32" s="26">
        <f t="shared" si="8"/>
        <v>545956.66581488028</v>
      </c>
      <c r="K32" s="26">
        <f t="shared" si="8"/>
        <v>539131.61870241049</v>
      </c>
      <c r="L32" s="26">
        <f t="shared" si="8"/>
        <v>531965.3192343174</v>
      </c>
      <c r="M32" s="26">
        <f t="shared" si="8"/>
        <v>524440.70479281945</v>
      </c>
      <c r="N32" s="26">
        <f t="shared" si="8"/>
        <v>516539.85962924681</v>
      </c>
      <c r="O32" s="26">
        <f t="shared" si="8"/>
        <v>508243.97220749542</v>
      </c>
      <c r="P32" s="26">
        <f>P23-P28-P29-P30-P31</f>
        <v>499533.29041465645</v>
      </c>
      <c r="Q32" s="26">
        <f t="shared" ref="Q32:V32" si="9">Q23-Q28-Q29-Q30-Q31</f>
        <v>490387.07453217561</v>
      </c>
      <c r="R32" s="26">
        <f t="shared" si="9"/>
        <v>480783.54785557074</v>
      </c>
      <c r="S32" s="26">
        <f t="shared" si="9"/>
        <v>470699.84484513552</v>
      </c>
      <c r="T32" s="26">
        <f t="shared" si="9"/>
        <v>460111.95668417861</v>
      </c>
      <c r="U32" s="26">
        <f t="shared" si="9"/>
        <v>448994.67411517381</v>
      </c>
      <c r="V32" s="26">
        <f t="shared" si="9"/>
        <v>437321.52741771884</v>
      </c>
      <c r="W32" s="9">
        <f>SUM(C32:V32)</f>
        <v>8249696.7770796483</v>
      </c>
    </row>
    <row r="33" spans="1:22" s="21" customFormat="1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35"/>
    <row r="36" spans="1:22" s="14" customFormat="1" x14ac:dyDescent="0.3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35">
      <c r="A37" s="11" t="s">
        <v>35</v>
      </c>
      <c r="B37" s="12">
        <f>NPV(0.05,B29:V29)</f>
        <v>4178489.582759338</v>
      </c>
      <c r="C37" s="18" t="e">
        <f>B37/B18</f>
        <v>#DIV/0!</v>
      </c>
      <c r="D37" t="s">
        <v>30</v>
      </c>
    </row>
    <row r="38" spans="1:22" x14ac:dyDescent="0.35">
      <c r="A38" s="11" t="s">
        <v>27</v>
      </c>
      <c r="B38" s="13">
        <f>IRR(B29:V29,0.05)</f>
        <v>0.10197659467195597</v>
      </c>
    </row>
    <row r="39" spans="1:22" x14ac:dyDescent="0.3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35">
      <c r="A40" s="16"/>
      <c r="B40" t="s">
        <v>32</v>
      </c>
    </row>
    <row r="41" spans="1:22" s="21" customFormat="1" x14ac:dyDescent="0.35">
      <c r="C41" s="27"/>
    </row>
    <row r="42" spans="1:22" s="14" customFormat="1" x14ac:dyDescent="0.35">
      <c r="B42" s="15"/>
      <c r="C42" s="2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s="14" customFormat="1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s="14" customFormat="1" x14ac:dyDescent="0.35">
      <c r="A44" s="16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35">
      <c r="A45" s="11" t="s">
        <v>35</v>
      </c>
      <c r="B45" s="12">
        <f>NPV(0.05,B32:V32)</f>
        <v>4587369.0009225616</v>
      </c>
      <c r="C45" s="18">
        <f>B45/B26</f>
        <v>0.42891824626122782</v>
      </c>
      <c r="D45" t="s">
        <v>30</v>
      </c>
    </row>
    <row r="46" spans="1:22" x14ac:dyDescent="0.35">
      <c r="A46" s="11" t="s">
        <v>27</v>
      </c>
      <c r="B46" s="13" t="e">
        <f>IRR(B32:V32,0.05)</f>
        <v>#NUM!</v>
      </c>
    </row>
    <row r="47" spans="1:22" x14ac:dyDescent="0.35">
      <c r="A47" s="11" t="s">
        <v>31</v>
      </c>
      <c r="B47" s="20"/>
      <c r="C47" s="19"/>
      <c r="D47" t="s">
        <v>32</v>
      </c>
      <c r="E47" t="s">
        <v>32</v>
      </c>
    </row>
    <row r="48" spans="1:22" x14ac:dyDescent="0.35">
      <c r="A48" s="16" t="s">
        <v>28</v>
      </c>
    </row>
  </sheetData>
  <pageMargins left="0.25" right="0.25" top="0.75" bottom="0.75" header="0.3" footer="0.3"/>
  <pageSetup paperSize="9" scale="3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ภาพรวม</vt:lpstr>
      <vt:lpstr>มทร.เชียงใหม่</vt:lpstr>
      <vt:lpstr>มทร.เชียงราย</vt:lpstr>
      <vt:lpstr>มทร.ดอยสะเก็ด</vt:lpstr>
      <vt:lpstr>มทร.ตาก1</vt:lpstr>
      <vt:lpstr>มทร.ตาก2</vt:lpstr>
      <vt:lpstr>มทร.ตาก3</vt:lpstr>
      <vt:lpstr>มทร.น่าน</vt:lpstr>
      <vt:lpstr>มทร.พิษณุโลก</vt:lpstr>
      <vt:lpstr>มทร.ภาคพายัพ เชียงใหม่</vt:lpstr>
      <vt:lpstr>มทร.ภาคพายัพ เจ็ดยอด</vt:lpstr>
      <vt:lpstr>มทร.ลำปาง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Sittipat Apaisantipong [lw20sa]</cp:lastModifiedBy>
  <cp:lastPrinted>2024-05-30T00:12:27Z</cp:lastPrinted>
  <dcterms:created xsi:type="dcterms:W3CDTF">2024-04-15T17:25:25Z</dcterms:created>
  <dcterms:modified xsi:type="dcterms:W3CDTF">2024-07-17T16:12:56Z</dcterms:modified>
</cp:coreProperties>
</file>